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65236" yWindow="1290" windowWidth="6015" windowHeight="7125" tabRatio="832" activeTab="2"/>
  </bookViews>
  <sheets>
    <sheet name="MEMÓRIA" sheetId="1" r:id="rId1"/>
    <sheet name="PLANILHA" sheetId="2" r:id="rId2"/>
    <sheet name="CRONOGRAMA " sheetId="3" r:id="rId3"/>
  </sheets>
  <definedNames>
    <definedName name="_xlnm.Print_Area" localSheetId="2">'CRONOGRAMA '!$A$1:$K$25</definedName>
    <definedName name="_xlnm.Print_Area" localSheetId="0">'MEMÓRIA'!$A$1:$I$975</definedName>
    <definedName name="_xlnm.Print_Area" localSheetId="1">'PLANILHA'!$A$1:$I$148</definedName>
    <definedName name="_xlnm.Print_Titles" localSheetId="0">'MEMÓRIA'!$10:$11</definedName>
    <definedName name="_xlnm.Print_Titles" localSheetId="1">'PLANILHA'!$1:$11</definedName>
  </definedNames>
  <calcPr fullCalcOnLoad="1"/>
</workbook>
</file>

<file path=xl/sharedStrings.xml><?xml version="1.0" encoding="utf-8"?>
<sst xmlns="http://schemas.openxmlformats.org/spreadsheetml/2006/main" count="3333" uniqueCount="1006">
  <si>
    <t>05695</t>
  </si>
  <si>
    <t>05751</t>
  </si>
  <si>
    <t>5.9</t>
  </si>
  <si>
    <t>5.10</t>
  </si>
  <si>
    <t>5.11</t>
  </si>
  <si>
    <t>5.12</t>
  </si>
  <si>
    <t>5.13</t>
  </si>
  <si>
    <t>5.14</t>
  </si>
  <si>
    <t>5.15</t>
  </si>
  <si>
    <t>03977</t>
  </si>
  <si>
    <t>INSTALAÇÕES ELÉTRICAS - não utilizar produtos fabricados com material reciclado</t>
  </si>
  <si>
    <t>REVESTIMENTO:PISO, TETO E PAREDE</t>
  </si>
  <si>
    <t>9.0</t>
  </si>
  <si>
    <t>ESQUADRIAS</t>
  </si>
  <si>
    <t>4.2</t>
  </si>
  <si>
    <t>03902</t>
  </si>
  <si>
    <t>05103</t>
  </si>
  <si>
    <t>60 DIAS</t>
  </si>
  <si>
    <t>90 DIAS</t>
  </si>
  <si>
    <t>1.4</t>
  </si>
  <si>
    <t>04922</t>
  </si>
  <si>
    <t>INSTALAÇÕES HIDRO-SANITÁRIAS</t>
  </si>
  <si>
    <t>02654</t>
  </si>
  <si>
    <t>00115</t>
  </si>
  <si>
    <t>1.1</t>
  </si>
  <si>
    <t>1.2</t>
  </si>
  <si>
    <t>3.1</t>
  </si>
  <si>
    <t>3.2</t>
  </si>
  <si>
    <t>3.3</t>
  </si>
  <si>
    <t>3.4</t>
  </si>
  <si>
    <t>3.5</t>
  </si>
  <si>
    <t>3.6</t>
  </si>
  <si>
    <t>3.7</t>
  </si>
  <si>
    <t>00285</t>
  </si>
  <si>
    <t>02341</t>
  </si>
  <si>
    <t>SUBTOTAL 4.0</t>
  </si>
  <si>
    <t>5.0</t>
  </si>
  <si>
    <t>6.0</t>
  </si>
  <si>
    <t>30 DIAS</t>
  </si>
  <si>
    <t>02643</t>
  </si>
  <si>
    <t>02961</t>
  </si>
  <si>
    <t>05031</t>
  </si>
  <si>
    <t>02259</t>
  </si>
  <si>
    <t>M3</t>
  </si>
  <si>
    <t>01999</t>
  </si>
  <si>
    <t>H</t>
  </si>
  <si>
    <t>TRANSPORTE E ENTULLHO</t>
  </si>
  <si>
    <t>05030</t>
  </si>
  <si>
    <t>02617</t>
  </si>
  <si>
    <t>05750</t>
  </si>
  <si>
    <t>8.0</t>
  </si>
  <si>
    <t>un</t>
  </si>
  <si>
    <t>PINTURA</t>
  </si>
  <si>
    <t>9.3</t>
  </si>
  <si>
    <t>00560</t>
  </si>
  <si>
    <t>TRANSPORTE E ENTULHO</t>
  </si>
  <si>
    <t>ESQUADRIAS - as de aço deverão ter certificado ISO-9000</t>
  </si>
  <si>
    <t>ESTRUTURA</t>
  </si>
  <si>
    <t>02441</t>
  </si>
  <si>
    <t>6.2</t>
  </si>
  <si>
    <t>6.3</t>
  </si>
  <si>
    <t>6.4</t>
  </si>
  <si>
    <t>6.6</t>
  </si>
  <si>
    <t>07803</t>
  </si>
  <si>
    <t>00702</t>
  </si>
  <si>
    <t>7.5</t>
  </si>
  <si>
    <t>02984</t>
  </si>
  <si>
    <t>4.6</t>
  </si>
  <si>
    <t>4.3</t>
  </si>
  <si>
    <t>4.4</t>
  </si>
  <si>
    <t>4.5</t>
  </si>
  <si>
    <t>00309</t>
  </si>
  <si>
    <t>02370</t>
  </si>
  <si>
    <t>1.3</t>
  </si>
  <si>
    <t>02672</t>
  </si>
  <si>
    <t>02830</t>
  </si>
  <si>
    <t>02385</t>
  </si>
  <si>
    <t>01966</t>
  </si>
  <si>
    <t>03876</t>
  </si>
  <si>
    <t>06028</t>
  </si>
  <si>
    <t>00125</t>
  </si>
  <si>
    <t>00324</t>
  </si>
  <si>
    <t>00413</t>
  </si>
  <si>
    <t>TOTAL ACUMULADO DA OBRA</t>
  </si>
  <si>
    <t>Desembolso por medição %</t>
  </si>
  <si>
    <t>Desembolso acumulado %</t>
  </si>
  <si>
    <t>00150</t>
  </si>
  <si>
    <t>INSTALAÇÕES ELÉTRICAS</t>
  </si>
  <si>
    <t>SUBTOTAL 5.0</t>
  </si>
  <si>
    <t>m²</t>
  </si>
  <si>
    <t>02258</t>
  </si>
  <si>
    <t>02616</t>
  </si>
  <si>
    <t>05946</t>
  </si>
  <si>
    <t>5.1</t>
  </si>
  <si>
    <t>5.2</t>
  </si>
  <si>
    <t>5.3</t>
  </si>
  <si>
    <t>5.4</t>
  </si>
  <si>
    <t>00103</t>
  </si>
  <si>
    <t>02339</t>
  </si>
  <si>
    <t>05734</t>
  </si>
  <si>
    <t>05780</t>
  </si>
  <si>
    <t>05732</t>
  </si>
  <si>
    <t>00029</t>
  </si>
  <si>
    <t>05337</t>
  </si>
  <si>
    <t>06021</t>
  </si>
  <si>
    <t>TOTAL DA OBRA POR MEDIÇÃO</t>
  </si>
  <si>
    <t>PREÇOS (R$)</t>
  </si>
  <si>
    <t xml:space="preserve">ESTRUTURA </t>
  </si>
  <si>
    <t>4.7</t>
  </si>
  <si>
    <t>4.8</t>
  </si>
  <si>
    <t>4.9</t>
  </si>
  <si>
    <t>4.10</t>
  </si>
  <si>
    <t>4.20</t>
  </si>
  <si>
    <t>05953</t>
  </si>
  <si>
    <t>3.9</t>
  </si>
  <si>
    <t>%</t>
  </si>
  <si>
    <t>R$</t>
  </si>
  <si>
    <t>00294</t>
  </si>
  <si>
    <t>00760</t>
  </si>
  <si>
    <t>SERVIÇO</t>
  </si>
  <si>
    <t>00559</t>
  </si>
  <si>
    <t>9.1</t>
  </si>
  <si>
    <t>9.2</t>
  </si>
  <si>
    <t>5.5</t>
  </si>
  <si>
    <t>5.6</t>
  </si>
  <si>
    <t>5.7</t>
  </si>
  <si>
    <t>5.8</t>
  </si>
  <si>
    <t>6.1</t>
  </si>
  <si>
    <t>7.0</t>
  </si>
  <si>
    <t>7.1</t>
  </si>
  <si>
    <t>7.2</t>
  </si>
  <si>
    <t>7.3</t>
  </si>
  <si>
    <t>7.4</t>
  </si>
  <si>
    <t>SUBTOTAL 7.0</t>
  </si>
  <si>
    <t>02614</t>
  </si>
  <si>
    <t>02615</t>
  </si>
  <si>
    <t>GL</t>
  </si>
  <si>
    <t>00124</t>
  </si>
  <si>
    <t>00022</t>
  </si>
  <si>
    <t>03878</t>
  </si>
  <si>
    <t>ITEM</t>
  </si>
  <si>
    <t>M</t>
  </si>
  <si>
    <t>M2</t>
  </si>
  <si>
    <t>00368</t>
  </si>
  <si>
    <t>00453</t>
  </si>
  <si>
    <t>4.1</t>
  </si>
  <si>
    <t>TOTAL GERAL</t>
  </si>
  <si>
    <t>DISCRIMINAÇÃO</t>
  </si>
  <si>
    <t>UN</t>
  </si>
  <si>
    <t>QUANT.</t>
  </si>
  <si>
    <t>TOTAL</t>
  </si>
  <si>
    <t>1.0</t>
  </si>
  <si>
    <t>SERVIÇOS PRELIMINARES</t>
  </si>
  <si>
    <t>SUBTOTAL 1.0</t>
  </si>
  <si>
    <t>2.0</t>
  </si>
  <si>
    <t>SUBTOTAL 2.0</t>
  </si>
  <si>
    <t>3.0</t>
  </si>
  <si>
    <t>SUBTOTAL 3.0</t>
  </si>
  <si>
    <t>4.0</t>
  </si>
  <si>
    <t>3.8</t>
  </si>
  <si>
    <t>REVESTIMENTO: PISO,TETO,PAREDE</t>
  </si>
  <si>
    <t>5.17</t>
  </si>
  <si>
    <t>04326</t>
  </si>
  <si>
    <t>4.11</t>
  </si>
  <si>
    <t>4.12</t>
  </si>
  <si>
    <t>4.13</t>
  </si>
  <si>
    <t>4.14</t>
  </si>
  <si>
    <t>4.15</t>
  </si>
  <si>
    <t>4.16</t>
  </si>
  <si>
    <t>4.17</t>
  </si>
  <si>
    <t>4.18</t>
  </si>
  <si>
    <t>4.19</t>
  </si>
  <si>
    <t>4.21</t>
  </si>
  <si>
    <t>4.22</t>
  </si>
  <si>
    <t>4.23</t>
  </si>
  <si>
    <t>4.24</t>
  </si>
  <si>
    <t>4.25</t>
  </si>
  <si>
    <t>4.26</t>
  </si>
  <si>
    <t>4.27</t>
  </si>
  <si>
    <t>4.28</t>
  </si>
  <si>
    <t>4.29</t>
  </si>
  <si>
    <t>4.30</t>
  </si>
  <si>
    <t>4.31</t>
  </si>
  <si>
    <t>4.32</t>
  </si>
  <si>
    <t>4.33</t>
  </si>
  <si>
    <t>00349</t>
  </si>
  <si>
    <t>Revestimento externo, de uma vez, com argamassa de cimento, saibro macio e areia fina, no traço 1:2:2, com espessura de 2,5cm, inclusive chapisco de cimento e areia, no traço 1:3:3</t>
  </si>
  <si>
    <t>Pintura interna ou externa sobre madeira nova, com tinta sintética alquídica de uso geral, sobre superfície preparada, conforme item 17.017.100 ( Preparo de madeira nova, inclusive lixamento, limpeza, uma demão de verniz imunizante e impermeabilizante incolor, duas demãos de massa corrida, novo lixamento e uma demão de fundo sintético nivelador), inclusive este preparo, inclusive lixamento, corrida de mais uma demão de massa e duas demãos de acabamento.</t>
  </si>
  <si>
    <t>6.7</t>
  </si>
  <si>
    <t>6.8</t>
  </si>
  <si>
    <t>6.9</t>
  </si>
  <si>
    <t>6.10</t>
  </si>
  <si>
    <t>6.11</t>
  </si>
  <si>
    <t>SUBTOTAL 6.0</t>
  </si>
  <si>
    <t>02603</t>
  </si>
  <si>
    <t>02604</t>
  </si>
  <si>
    <t>02317</t>
  </si>
  <si>
    <t>05070</t>
  </si>
  <si>
    <t>Caixa de passagem de alvenaria de blocos de concreto (10x20x40cm), em paredes de meia vez (0,10m), utilizando argamassa de cimento e areia, no traço 1:4 em volume, com fundo em concreto simples provido de calha interna, sendo as paredes revestidas internamente com a mesma argamassa, inclusive tampa de concreto armado, 15MPa, com espessura de 10cm medindo 0,60 x 0,60 x 0,60m</t>
  </si>
  <si>
    <t>02988</t>
  </si>
  <si>
    <t>00005</t>
  </si>
  <si>
    <t>05749</t>
  </si>
  <si>
    <t>Instalação de ponto de telefone ou lógica, compreendendo:  5 varas de eletroduto de 3/4”, conexões e caixas,15m de cabo telefônico tipo CCI (para instalações internas secundárias) para 2 pares.</t>
  </si>
  <si>
    <t>00289</t>
  </si>
  <si>
    <t>02344</t>
  </si>
  <si>
    <t>02639</t>
  </si>
  <si>
    <t>03887</t>
  </si>
  <si>
    <t>04268</t>
  </si>
  <si>
    <t>08026</t>
  </si>
  <si>
    <t>04337</t>
  </si>
  <si>
    <t>00282</t>
  </si>
  <si>
    <t>04745</t>
  </si>
  <si>
    <t>07894</t>
  </si>
  <si>
    <t>07895</t>
  </si>
  <si>
    <t>KG</t>
  </si>
  <si>
    <t>PREGO COM OU SEM CABECA, EM CAIXAS DE 50KG, OU QUANTIDADES EQUIVALENTES, N§12X12A 18X30</t>
  </si>
  <si>
    <t>MAO-DE-OBRA DE SERVENTE DA CONSTRUCAO CIVIL, INCLUSIVE ENCARGOS SOCIAIS</t>
  </si>
  <si>
    <t>PLACA DE IDENTIFICACAO DE OBRA PUBLICA,TIPO BANNER/PLOTER, CONSTITUIDA POR LONAE IMPRESSAO DIGITAL</t>
  </si>
  <si>
    <t>10806</t>
  </si>
  <si>
    <t>CHAPA DE MADEIRA COMPENSADA, RESINADA, COM ESPESSURA DE 06MM</t>
  </si>
  <si>
    <t>00159</t>
  </si>
  <si>
    <t>ACO CA-25, ESTIRADO, PRECO DE REVENDEDOR, NO DIAMETRO DE 06,3MM</t>
  </si>
  <si>
    <t>TIJOLO CERAMICO, FURADO, DE (10X20X20)CM</t>
  </si>
  <si>
    <t>TIJOLO CERAMICO, FURADO, DE (10X20X30)CM</t>
  </si>
  <si>
    <t>CIMENTO BRANCO</t>
  </si>
  <si>
    <t>CABO SOLIDO DE COBRE ELETROLITICO NU, TEMPERA MOLE, CLASSE 2, SECAO CIRCULAR DE10,0 A 500,0MM2</t>
  </si>
  <si>
    <t>BOLSA DE LIGACAO PARA VASO SANITARIO</t>
  </si>
  <si>
    <t>VASO SANITARIO, DE LOUCA BRANCA, P/PESSOAS C/NECESSIDADES ESPECIFICAS, INCLUS. ASSENTO ESPECIAL E ACESSORIOS DE FIXACAO</t>
  </si>
  <si>
    <t>13104</t>
  </si>
  <si>
    <t>ADESIVO PLASTICO PARA PVC RIGIDO, EM BISNAGA DE 75G</t>
  </si>
  <si>
    <t>LIXA D'AGUA N§ 100</t>
  </si>
  <si>
    <t>SOLVENTE (SOLUCAO LIMPADORA) P/CONEXOESDE PVC, EM FRASCOS PLASTICOS DE 1000CM3</t>
  </si>
  <si>
    <t>BUCHA DE NYLON, TIPO S-12</t>
  </si>
  <si>
    <t>00666</t>
  </si>
  <si>
    <t>TUBO DE PVC RIGIDO, PONTA/BOLSA COM VIROLA, EM BARRAS DE 6,00M, DE 100MM</t>
  </si>
  <si>
    <t>ANEL DE BORRACHA, PARA TUBO DE PVC-ESGOTO PRIMARIO, DE 100MM</t>
  </si>
  <si>
    <t>02831</t>
  </si>
  <si>
    <t>JOELHO 90§ DE PVC, PARA ESGOTO, DE 100MM</t>
  </si>
  <si>
    <t>05766</t>
  </si>
  <si>
    <t>00706</t>
  </si>
  <si>
    <t>TUBO DE PVC RIGIDO SOLDAVEL, PONTA/BOLSA, EM BARRAS DE 6,00M, DE 060MM</t>
  </si>
  <si>
    <t>FITA ISOLANTE, ROLO DE 19MMX20M</t>
  </si>
  <si>
    <t>TUBO DE PVC RIGIDO SOLDAVEL, PONTA/BOLSA, PARA ESGOTO, EM BARRAS DE 6,00M, DE 040MM</t>
  </si>
  <si>
    <t>TUBO DE PVC RIGIDO SOLDAVEL, PONTA/BOLSAC/VIROLA, EM BARRAS DE 6,00M, DE 025MM</t>
  </si>
  <si>
    <t>TE 90§ DE PVC RIGIDO SOLDAVEL, DE 025MM</t>
  </si>
  <si>
    <t>JOELHO 90§ DE PVC SOLDAVEL, DE 025MM</t>
  </si>
  <si>
    <t>TUBO DE PVC RIGIDO SOLDAVEL, PONTA/BOLSAC/VIROLA, EM BARRAS DE 6,00M, DE 020MM</t>
  </si>
  <si>
    <t>TUBO DE PVC RIGIDO LEVE CIRCULAR EM BARRAS DE 6,00M, COM PONTA E BOLSA LISAS, DE150MM</t>
  </si>
  <si>
    <t>TUBO DE PVC RIGIDO, PONTA/BOLSA COM VIROLA, EM BARRAS DE 6,00M, DE 75MM</t>
  </si>
  <si>
    <t>TUBO DE PVC RIGIDO, PONTA/BOLSA COM VIROLA, EM BARRAS DE 6,00M, DE 050MM</t>
  </si>
  <si>
    <t>CURVA 90§ DE PVC CURTA PARA ESGOTO, DE 075MM</t>
  </si>
  <si>
    <t>RALO SIFONADO DE PVC RIGIDO, COM SAIDA DE 75MM, COM GRELHA REDONDA E PORTA GRELHA, DE (150X185X75)MM</t>
  </si>
  <si>
    <t>ANEL DE BORRACHA, PARA TUBO DE PVC-ESGOTO PRIMARIO, DE 075MM</t>
  </si>
  <si>
    <t>06.014.0062-5</t>
  </si>
  <si>
    <t>BLOCO DE CONCRETO PRENSADO, PARA ALVENARIA, DE (10X20X40)CM</t>
  </si>
  <si>
    <t>PAPELEIRA, SEM PROTETOR, DE SOBREPOR, EMMETAL CROMADO</t>
  </si>
  <si>
    <t>SABONETEIRA, DE SOBREPOR, EM METAL CROMADO</t>
  </si>
  <si>
    <t>FIO C/ISOLAMENTO TERMOPLASTICO ANTICHAMADE 750V, DE 02,5MM2</t>
  </si>
  <si>
    <t>INTERRUPTOR DE EMBUTIR, FOSFORESCENTE, C/PLACA, DE 1 TECLA SIMPLES</t>
  </si>
  <si>
    <t>ARAME GALVANIZADO N§ 16</t>
  </si>
  <si>
    <t>CABO TELEFONICO CCI, DIAMETRO DE 0,50MM,PARA 2 PARES</t>
  </si>
  <si>
    <t>11912</t>
  </si>
  <si>
    <t>DISJUNTOR MONOFASICO DE 250V, DE 010 A 030A</t>
  </si>
  <si>
    <t>02315</t>
  </si>
  <si>
    <t>DISJUNTOR BIFASICO DE 250V, DE 010 A 050A</t>
  </si>
  <si>
    <t>DISJUNTOR TRIFASICO 250V, DE 060 A 100A</t>
  </si>
  <si>
    <t>POSTE DE CONCRETO, C/SECAO CIRCULAR, C/07,00M DE COMPR., PADRAO ABNT, EXCLUSIVETRANSP., C/CARGA NOM.HORIZ.TOPO 100KGF</t>
  </si>
  <si>
    <t>00456</t>
  </si>
  <si>
    <t>T X KM</t>
  </si>
  <si>
    <t>03968</t>
  </si>
  <si>
    <t>ARMACAO SECUNDARIA, COMPLETA, PARA 4 LINHAS</t>
  </si>
  <si>
    <t>03970</t>
  </si>
  <si>
    <t>HASTE TERRA, TIPO CANTONEIRA GALVANIZADA, DE 2,00M</t>
  </si>
  <si>
    <t>ISOLADOR TIPO CARRETILHA, MARROM, DE (72X72)MM</t>
  </si>
  <si>
    <t>04210</t>
  </si>
  <si>
    <t>05994</t>
  </si>
  <si>
    <t>CONECTOR PARAFUSO FENDIDO, TIPO SPLIT BOLT, FABRICADO EM COBRE, PARA CABO DE 120MM2</t>
  </si>
  <si>
    <t>CAIXA TRANSPARENTE PARA MEDICAO DIRETA(CTM), PARA ENTRADA DE ENERGIA INDIVIDUAL, PADRAO LIGHT</t>
  </si>
  <si>
    <t>11922</t>
  </si>
  <si>
    <t>CAIXA TRANSPARENTE POLIFASICA (CTP), PARA ENTRADA DE ENERGIA INDIVIDUAL, PADRAOLIGHT</t>
  </si>
  <si>
    <t>11924</t>
  </si>
  <si>
    <t>CAIXA DE DISJUNTORES TRIFASICO (CDJ3) INTERNA, PARA ENTRADA DE ENERGIA INDIVIDUAL, PADRAO LIGHT</t>
  </si>
  <si>
    <t>11925</t>
  </si>
  <si>
    <t>CAIXA SECCIONADORA (CS100), PARA ENTRADADE ENERGIA INDIVIDUAL, PADRAO LIGHT</t>
  </si>
  <si>
    <t>11930</t>
  </si>
  <si>
    <t>CABO COM ISOLAMENTO TERMOPLASTICO, DE 0750V, DE 016MM2</t>
  </si>
  <si>
    <t>ALUMINIO EM PERFIL TUBULAR EXTRUDADO, LIGA COMUM</t>
  </si>
  <si>
    <t>ADUELA EM MADEIRA DE LEI, DE (13X3)CM, GRUPO V</t>
  </si>
  <si>
    <t>ALIZAR EM MADEIRA DE LEI, DE (5X2)CM, GRUPO V</t>
  </si>
  <si>
    <t>00761</t>
  </si>
  <si>
    <t>11439</t>
  </si>
  <si>
    <t>FECHADURA DE EMBUTIR EM LATAO CROMADO, P/PORTA INT., MACANETA TIPO ALAVANCA EM ZAMAK, DIST. 55MM E PROFUND. 80MM</t>
  </si>
  <si>
    <t>13147</t>
  </si>
  <si>
    <t>14.003.0016-5</t>
  </si>
  <si>
    <t>MAO-DE-OBRA DE PINTOR, INCLUSIVE ENCARGOS SOCIAIS</t>
  </si>
  <si>
    <t>SELADOR PIGMENTADO A BASE DE RESINA ACRILICA MODIFICADA, NA COR BRANCA</t>
  </si>
  <si>
    <t>ESMALTE SINTETICO ALQUIDICO ALTO BRILHO,BRILHANTE, ACETINADO OU FOSCO</t>
  </si>
  <si>
    <t>FUNDO ANTICORROSIVO DE SECAGEM RAPIDA LARANJA</t>
  </si>
  <si>
    <t>TINTA FUNDO SINTETICO NIVELADOR, PARA MADEIRA, INTERIORES E EXTERIORES</t>
  </si>
  <si>
    <t>LIXA P/MADEIRA N§100</t>
  </si>
  <si>
    <t>MASSA PARA MADEIRA</t>
  </si>
  <si>
    <t>VERNIZ ISOLANTE INCOLOR</t>
  </si>
  <si>
    <t>TINTA A OLEO BRILHANTE, P/USO GERAL, EMINTERIORES E EXTERIORES</t>
  </si>
  <si>
    <t>7.6</t>
  </si>
  <si>
    <t>MASSA CORRIDA A BASE DE PVA, EM LATAS DE18 LITROS</t>
  </si>
  <si>
    <t>03868</t>
  </si>
  <si>
    <t>FUNDO PREPARADOR DE PAREDES ACRILICO, BASE D`AGUA, INCOLOR</t>
  </si>
  <si>
    <t>07182</t>
  </si>
  <si>
    <t>SUB-TOTAL 8.0</t>
  </si>
  <si>
    <t>PARAFUSO C/ROSCA, DE (8x100)MM</t>
  </si>
  <si>
    <t>00252</t>
  </si>
  <si>
    <t>MASSA DE VEDACAO P/ARTEFATOS DE CIMENTOAMIANTO</t>
  </si>
  <si>
    <t>02216</t>
  </si>
  <si>
    <t>CONJUNTO DE VEDACAO, COM ARRUELA GALVANIZADA E BORRACHAS PARA PARAFUSO DE FIXACAO DE TELHA ONDULADA</t>
  </si>
  <si>
    <t>05962</t>
  </si>
  <si>
    <t>TELHA ONDULADA DE CIMENTO, SEM AMIANTO,REFORCADA C/FIOS SINTETICOS (CRFS), DE (2,44X1,10)M E C/ESPES. DE 8MM</t>
  </si>
  <si>
    <t>08001</t>
  </si>
  <si>
    <t>CUMEEIRA NORMAL DE CIMENTO, SEM AMIANTO,REFORCADA C/FIOS SINTETICOS (CRFS), P/TELHA ONDUL. 1,10M DE 5,6 E 8MM ESPESSURA</t>
  </si>
  <si>
    <t>08002</t>
  </si>
  <si>
    <t>Locação de caçamba de aço tipo container com 5m³ de capacidade, para retirada de entulho de obra, inclusive carregamento, transporte e descarregamento, exclusive taxa para descarga em locais autorizados e/ou licenciados (vide item 04.014.0110). Custo por unidade de caçamba (O período de permanência da caçamba na obra é de até 48 horas)</t>
  </si>
  <si>
    <t>ALUGUEL CACAMBA DE ACO TIPO CONTAINER C/5M3 CAPAC.P/RETIRADA ENTULHO OBRA,INCLUSIVE CARREGAM.,TRANSP.E DESCARREGAMENTO</t>
  </si>
  <si>
    <t>10962</t>
  </si>
  <si>
    <t>02355</t>
  </si>
  <si>
    <t>03901</t>
  </si>
  <si>
    <t>LAVATORIO DE LOUCA BRANCA, TIPO MEDIO LUXO, MEDINDO EM TORNO DE (47X35)CM, INCLUSIVE ACESSORIOS DE FIXACAO</t>
  </si>
  <si>
    <t>03911</t>
  </si>
  <si>
    <t>CAIXA D'AGUA DE FIBRA DE VIDRO OU POLIETILENO, COM CAPACIDADE DE 1000 LITROS</t>
  </si>
  <si>
    <t>00788</t>
  </si>
  <si>
    <t>02508</t>
  </si>
  <si>
    <t xml:space="preserve">Colocação de reservatório de fibra de vidro de 1000 litros, inclusive peças de apoio em alvenaria e madeira serrada, e flanges de ligação hidráulica, inclusive fornecimento do reservatório, tampa de vedação com escotilha e fixadores. </t>
  </si>
  <si>
    <t>02356</t>
  </si>
  <si>
    <t>02593</t>
  </si>
  <si>
    <t>5.16</t>
  </si>
  <si>
    <t>FECHADURA DE EMBUTIR TIPO TRANQUETA EM LATAO CROM.P/PORTA BANH.LING.E TRINCO REVERS.MAC.ALAV.ZAMAK DIST.55MM E PROF.80MM</t>
  </si>
  <si>
    <t>07806</t>
  </si>
  <si>
    <t>PEITORIL GRANITO CINZA ANDORINHA, 18X2CM</t>
  </si>
  <si>
    <t>11200</t>
  </si>
  <si>
    <t>INSTALAÇÕES HIDRO-SANITÁRIAS - não utilizar produtos fabricados com material reciclado</t>
  </si>
  <si>
    <r>
      <t xml:space="preserve">Pintura interna com esmalte sintético alto brilho ou acetinado, acabamento de alta classe sobre superfície preparada conforme o item 17.017.0010 (Preparo de superfícies novas, com revestimento liso, inclusive lixamento, limpeza, uma demão de selador acrílico, uma demão de massa corrida ou acrílica e novo lixamento com remoção do pó residual) inclusive este preparo, inclusive lixamento, duas demãos de massa corrida e três de acabamento </t>
    </r>
    <r>
      <rPr>
        <b/>
        <sz val="11"/>
        <rFont val="Arial"/>
        <family val="2"/>
      </rPr>
      <t>(BARRADO)</t>
    </r>
  </si>
  <si>
    <t>PLACA DE IDENTIFICACAO DE OBRA PUBLICA,TIPO BANNER/PLOTTER,CONSTITUIDA POR LONA E IMPRESSAO DIGITAL,INCLUSIVE SUPORTES D E MADEIRA.FORNECIMENTO E COLOCACAO (OBS.:3% - DESGASTE DE FERRAMENTAS E EPI).</t>
  </si>
  <si>
    <t>ALVENARIA DE TIJOLOS CERAMICOS FURADOS 10X20X30CM,COMPLEMENTADA COM 6% DE TIJOLOS DE 10X20X20CM,ASSENTES COM ARGAMASSA D E CIMENTO E SAIBRO,NO TRACO 1:8,EM PAREDES DE MEIA VEZ(0,10M) DE SUPERFICIE CORRIDA,ATE 3,00M DE ALTURA E MEDIDA PELA AR EA REAL (OBS.:3%-DESGASTE DE FERRAMENTAS E EPI).</t>
  </si>
  <si>
    <t>PEITORIL EM GRANITO CINZA ANDORINHA,ESPESSURA DE 2CM,LARGURA 15 A 18CM,ASSENTADO COM NATA DE CIMENTO SOBRE ARGAMASSA DE CIMENTO,SAIBRO E AREIA,NO TRACO 1:3:3 E REJUNTAMENTO COM CIMENTO BRANCO (OBS.:3%-DESGASTE DE FERRAMENTAS E EPI).</t>
  </si>
  <si>
    <t>LAVATORIO DE LOUCA BRANCA,TIPO MEDIO LUXO,COM LADRAO,COM MEDIDAS EM TORNO DE 47X35CM,INCLUSIVE ACESSORIOS DE FIXACAO.FER RAGENS EM METAL CROMADO:SIFAO 1680 DE 1X1.1/4,TORNEIRA DEPRESSAO 1193 DE 1/2 E VALVULA DE ESCOAMENTO 1603.RABICHO EM PVC.FORNECIMENTO</t>
  </si>
  <si>
    <t>VASO SANITARIO DE LOUCA BRANCA OU BRANCO GELO,PARA PESSOAS COM NECESSIDADES ESPECIFICAS,INCLUSIVE ASSENTO ESPECIAL,BOLSA DE LIGACAO E ACESSORIOS DE FIXACAO.FORNECIMENTO</t>
  </si>
  <si>
    <t>DUCHINHA MANUAL,COM REGISTRO DE PRESSAO 1/2 CROMADO,RABICHO CROMADO,SUPORTE BRANCO,PISTOLA BRANCA,BUCHAS E PARAFUSOS PA RA FIXACAO.FORNECIMENTO</t>
  </si>
  <si>
    <t>INSTALACAO E ASSENTAMENTO DE DUCHINHA MANUAL PARA BANHEIRO(EXCLUSIVE FORNECIMENTO DO APARELHO),COMPREENDENDO:3,00M DE TU BO DE PVC DE 25MM E CONEXOES (OBS.:3%-DESGASTE DE FERRAMENTAS E EPI).</t>
  </si>
  <si>
    <t>RESERVATORIO,EM FIBRA DE VIDRO OU POLIETILENO,COM CAPACIDADE EM TORNO DE 1.000L,INCLUSIVE TAMPA DE VEDACAO COM ESCOTILHA E FIXADORES.FORNECIMENTO</t>
  </si>
  <si>
    <t>COLOCACAO DE RESERVATORIO DE FIBROCIMENTO,FIBRA DE VIDRO OU SEMELHANTE COM 1000L,INCLUSIVE PECAS DE APOIO EM ALVENARIA E MADEIRA SERRADA,E FLANGES DE LIGACAO HIDRAULICA,EXCLUSIVE FORNECIMENTO DO RESERVATORIO (OBS.:3%-DESGASTE DE FERRAMENTAS E EPI).</t>
  </si>
  <si>
    <t>TORNEIRA DE BOIA,EM BRONZE,DE PRESSAO,DE 3/4.FORNECIMENTO E COLOCACAO (OBS.:3%-DESGASTE DE FERRAMENTAS E EPI).</t>
  </si>
  <si>
    <t>TUBO DE PVC RIGIDO DE 60MM,SOLDAVEL,INCLUSIVE CONEXOES E EMENDAS,EXCLUSIVE ABERTURA E FECHAMENTO DE RASGO.FORNECIMENTO E ASSENTAMENTO (OBS.:3%-DESGASTE DE FERRAMENTAS E EPI 10%-CONEXOES E EMENDAS).</t>
  </si>
  <si>
    <t>TUBO DE PVC RIGIDO DE 50MM,SOLDAVEL,INCLUSIVE CONEXOES E EMENDAS,EXCLUSIVE ABERTURA E FECHAMENTO DE RASGO.FORNECIMENTO E ASSENTAMENTO (OBS.:3%-DESGASTE DE FERRAMENTAS E EPI 10%-CONEXOES E EMENDAS).</t>
  </si>
  <si>
    <t>REGISTRO DE GAVETA,EM BRONZE,COM DIAMETRO DE 3/4.FORNECIMENTO E COLOCACAO (OBS.:3%-DESGASTE DE FERRAMENTAS E EPI).</t>
  </si>
  <si>
    <t>TUBO DE PVC RIGIDO DE 150MM,SOLDAVEL,INCLUSIVE CONEXOES E EMENDAS,EXCLUSIVE ABERTURA E FECHAMENTO DE RASGO.FORNECIMENTO E ASSENTAMENTO (OBS.:3%-DESGASTE DE FERRAMENTAS E EPI 10%-CONEXOES E EMENDAS).</t>
  </si>
  <si>
    <t>TUBO DE PVC RIGIDO DE 40MM,SOLDAVEL,INCLUSIVE CONEXOES E EMENDAS,EXCLUSIVE ABERTURA E FECHAMENTO DE RASGO.FORNECIMENTO E ASSENTAMENTO (OBS.:3%-DESGASTE DE FERRAMENTAS E EPI 10%-CONEXOES E EMENDAS).</t>
  </si>
  <si>
    <t>TUBO PARA VENTILACAO EM PVC DE 75MM,INCLUSIVE CONEXOES.FORNECIMENTO E ASSENTAMENTO (OBS.:3%-DESGASTE DE FERRAMENTAS E EPI 10%-CONEXOES E DEMAIS MATERIAIS NECESSARIOS).</t>
  </si>
  <si>
    <t>RALO SIFONADO PVC RIGIDO (150X185)X75MM,EM PAVIMENTO TERREO,COM SAIDA DE 75MM,GRELHA REDONDA E PORTA-GRELHA,COMPREENDEND O:3,00M DE TUBO DE PVC DE 75MM E SUA LIGACAO AO RAMAL DE VENTILACAO.FORNECIMENTO E INSTALACAO (OBS.:3%-DESGASTE DE FERRAMENTAS E EPI).</t>
  </si>
  <si>
    <t>PAPELEIRA,SEM PROTETOR,DE SOBREPOR,EM METAL CROMADO.FORNECIMENTO E COLOCACAO (OBS.:3%-DESGASTE DE FERRAMENTAS E EPI).</t>
  </si>
  <si>
    <t>SABONETEIRA,DE SOBREPOR,EM METAL CROMADO.FORNECIMENTO E COLOCACAO (OBS.:3%-DESGASTE DE FERRAMENTAS E EPI).</t>
  </si>
  <si>
    <t>DISJUNTOR TERMOMAGNETICO UNIPOLAR,DE 10 A 30AX250V.FORNECIMENTO E COLOCACAO (OBS.:3%-DESGASTE DE FERRAMENTAS E EPI).</t>
  </si>
  <si>
    <t>DISJUNTOR TERMOMAGNETICO,BIPOLAR,DE 10 A 50AX250V.FORNECIMENTO E COLOCACAO (OBS.:3%-DESGASTE DE FERRAMENTAS E EPI).</t>
  </si>
  <si>
    <t>DISJUNTOR TERMOMAGNETICO,TRIPOLAR,DE 60 A 100AX250V.FORNECIMENTO E COLOCACAO (OBS.:3%-DESGASTE DE FERRAMENTAS E EPI).</t>
  </si>
  <si>
    <t>ENTRADA DE ENERGIA INDIVIDUAL PADRAO LIGHT,MEDICAO DIRETA,REDE SUBTERRANEA,DEMANDA ENTRE 8,0 E 23,3KVA,INCLUSIVE CAIXA S ECCIONADORA(CS100)E CAIXA TRANSPARENTE PARA MEDICAO(CTM),CAIXA DE DISJUNTOR POLIFASICO(CTP)E CAIXA DE DISJUNTOR TRIFASIC O(CDJ3)E DEMAIS MATERIAIS NECESSARIOS,EXCLUSIVE DISJUNTOR EFIOS DE ENTRADA E SAIDA (OBS.:3%-DESGASTE DE FERRAMENTAS E EPI).</t>
  </si>
  <si>
    <t>HASTE PARA ATERRAMENTO,DE COBRE DE 5/8(16MM),COM 3,00M DE COMPRIMENTO.FORNECIMENTO E COLOCACAO (OBS.:3%-DESGASTE DE FERRAMENTAS E EPI).</t>
  </si>
  <si>
    <t>CABO DE COBRE COM ISOLAMENTO TERMOPLASTICO,COMPREENDENDO:PREPARO,CORTE E ENFIACAO EM ELETRODUTOS,NA BITOLA DE 16MM2,450/ 750V.FORNECIMENTO E COLOCACAO (OBS.:3%-DESGASTE DE FERRAMENTAS E EPI).</t>
  </si>
  <si>
    <t>PORTA LISA, SEMI-OCA PARA PINTURA, DE (70X210X3,5)CM</t>
  </si>
  <si>
    <t>PORTA LISA, SEMI-OCA PARA PINTURA, DE (90X210X3,5)CM</t>
  </si>
  <si>
    <t>14496</t>
  </si>
  <si>
    <t>LIXA PARA MASSA</t>
  </si>
  <si>
    <t>TINTA LATEX STANDARD PARA EXTERIOR/INTERIOR SEMIBRILHANTE BRANCA OU COLORIDA, EMBALDES DE 18 LITROS</t>
  </si>
  <si>
    <t>REPINTURA INTERNA OU EXTERNA SOBRE FERRO EM BOM ESTADO,NAS CONDICOES DO ITEM 17.017.0320 E NA COR EXISTENTE (OBS.:3%-DESGASTE DE FERRAMENTAS E EPI).</t>
  </si>
  <si>
    <t>COBERTURA EM TELHAS ONDULADAS DE CIMENTO,SEM AMIANTO,REFORCADO COM FIOS SINTETICOS (CRFS),COM ESPESSURA DE 8MM,EXCLUSIVE MADEIRAMENTO.FORNECIMENTO E COLOCACAO (OBS.:3%-DESGASTE DE FERRAMENTAS E EPI).</t>
  </si>
  <si>
    <t>CUMEEIRA NORMAL DE CIMENTO,SEM AMIANTO,REFORCADO COM FIOS SINTETICOS (CRFS),PARA TELHAS ONDULADAS DE 1,10M DE LARGURA E ESPESSURA DE 5,6 E 8MM,INCLUSIVE ACESSORIOS DE FIXACAO E VEDACAO.FORNECIMENTO E COLOCACAO (OBS.:3%-DESGASTE DE FERRAMENTAS E EPI).</t>
  </si>
  <si>
    <t>SOLEIRA EM GRANITO CINZA ANDORINHA,ESPESSURA DE 3CM,COM 2 POLIMENTOS,LARGURA DE 15CM,EXCLUSIVE ARGAMASSA E REJUNTAMENTO (OBS.:3%-DESGASTE DE FERRAMENTAS E EPI).</t>
  </si>
  <si>
    <t>11183</t>
  </si>
  <si>
    <t>SOLEIRA GRANITO CINZA ANDORINHA, 15X3CMCOM 2 POLIMENTOS</t>
  </si>
  <si>
    <t>INSTALACAO DE PONTO DE TELEFONE OU LOGICA,COMPREENDENDO:5 VARAS DE ELETRODUTO DE 3/4,CONEXOES E CAIXAS</t>
  </si>
  <si>
    <t>CABO TELEFONICO CCI,DIAMETRO DO CONDUTOR 0,50MM,PARA 2 PARES.FORNECIMENTO E COLOCACAO (OBS.:3%-DESGASTE DE FERRAMENTAS E EPI).</t>
  </si>
  <si>
    <t>ALVENARIA PARA CAIXAS ENTERRADAS,ATE 0,80M DE PROFUNDIDADE,COM BLOCOS DE CONCRETO DE 10X20X40CM,COM ARGAMASSA DE CIMENTO E AREIA,NO TRACO 1:4 E CONCRETO 20MPA,PARA PREENCHIMENTO DOS FUROS DOS MESMOS,EM PAREDES DE MEIA VEZ(0,10M) (OBS.:3%-DESGASTE DE FERRAMENTAS E EPI).</t>
  </si>
  <si>
    <t>PORTA LISA, SEMI-OCA PARA PINTURA, DE (80X210X3,5)CM</t>
  </si>
  <si>
    <t>JANELA DE ALUMINIO ANODIZADO AO NATURAL DE CORRER,DUAS FOLHAS DE CORRER E BANDEIRA DE 0,50M DE ALTURA COM PAINEIS BASCUL ANTES,EM PERFIS SERIE 28.FORNECIMENTO E COLOCACAO (OBS.:3%-DESGASTE DE FERRAMENTAS E EPI 35%-ANODIZACAO E ACESSORIOS).</t>
  </si>
  <si>
    <t>PREPARO DE MADEIRA NOVA,INCLUSIVE LIXAMENTO,LIMPEZA,UMA DEMAO DE VERNIZ ISOLANTE INCOLOR,DUAS DEMAOS DE MASSA PARA MADEI RA,LIXAMENTO E REMOCAO DE PO,E UMA DEMAO DE FUNDO SINTETICONIVELADOR (OBS.:3%-DESGASTE DE FERRAMENTAS E EPI).</t>
  </si>
  <si>
    <t>PINTURA INTERNA OU EXTERNA SOBRE MADEIRA NOVA,COM DUAS DEMAOS DE TINTA SINTETICA ALQUIDICA DE USO GERAL,SOBRE SUPERFICIE PREPARADA,CONFORME O ITEM 17.017.0100,EXCLUSIVE ESTE PREPARO (OBS.:3%-DESGASTE DE FERRAMENTAS E EPI).</t>
  </si>
  <si>
    <t>PINTURA INTERNA COM ESMALTE SINTETICO ALTO BRILHO OU ACETINADO,ACABAMENTO DE ALTA CLASSE SOBRE SUPERFICIE PREPARADA CONF ORME O ITEM 17.017.0010,EXCLUSIVE ESTE PREPARO,INCLUSIVE LIXAMENTO,DUAS DEMAOS DE MASSA CORRIDA E TRES DE ACABAMENTO (OBS.:3%-DESGASTE DE FERRAMENTAS E EPI).</t>
  </si>
  <si>
    <t>PREPARO DE SUPERFICIES NOVAS,COM REVESTIMENTO LISO,INCLUSIVE LIXAMENTO,LIMPEZA,UMA DEMAO DE SELADOR ACRILICO,UMA DEMAO D E MASSA CORRIDA OU ACRILICA E NOVO LIXAMENTO COM REMOCAO DOPO RESIDUAL (OBS.:3%-DESGASTE DE FERRAMENTAS E EPI).</t>
  </si>
  <si>
    <t>RETIRADA DE ENTULHO DE OBRA COM CACAMBA DE ACO TIPO CONTAINER COM 5M3 DE CAPACIDADE,INCLUSIVE CARREGAMENTO,TRANSPORTE E DESCARREGAMENTO.CUSTO POR UNIDADE DE CACAMBA E INCLUI A TAXA PARA DESCARGA EM LOCAIS AUTORIZADOS (OBS.:3%-DESGASTE DE FERRAMENTAS E EPI).</t>
  </si>
  <si>
    <t>02.020.0002-A</t>
  </si>
  <si>
    <t>20132</t>
  </si>
  <si>
    <t>MAO-DE-OBRA DE SERVENTE DA CONSTRUCAO CIVIL, INCLUSIVE ENCARGOS SOCIAIS DESONERADOS</t>
  </si>
  <si>
    <t>20045</t>
  </si>
  <si>
    <t>MAO-DE-OBRA DE CARPINTEIRO DE ESQUADRIASDE MADEIRA, INCLUSIVE ENCARGOS SOCIAISDESONERADOS</t>
  </si>
  <si>
    <t>02.001.0002-A</t>
  </si>
  <si>
    <t>12.003.0115-A</t>
  </si>
  <si>
    <t>20115</t>
  </si>
  <si>
    <t>MAO-DE-OBRA DE PEDREIRO, INCLUSIVE ENCARGOS SOCIAIS DESONERADOS</t>
  </si>
  <si>
    <t>30179</t>
  </si>
  <si>
    <t>07.006.0025-B ARGAMASSA CIM.,SAIBRO TRACO 1:8,PREPAROMECANICO</t>
  </si>
  <si>
    <t>20087</t>
  </si>
  <si>
    <t>MAO-DE-OBRA DE LADRILHEIRO, INCLUSIVE ENCARGOS SOCIAIS DESONERADOS</t>
  </si>
  <si>
    <t>30129</t>
  </si>
  <si>
    <t>07.001.0010-B PASTA DE CIMENTO COMUM</t>
  </si>
  <si>
    <t>20091</t>
  </si>
  <si>
    <t>MAO-DE-OBRA DE MARMORISTA DE MARMORE E GRANITO, INCLUSIVE ENCARGOS SOCIAIS DESONERADOS</t>
  </si>
  <si>
    <t>30153</t>
  </si>
  <si>
    <t>07.001.0130-B ARGAMASSA CIM.,SAIBRO,AREIA 1:3:3,PREPARO MANUAL</t>
  </si>
  <si>
    <t>13.348.0076-A</t>
  </si>
  <si>
    <t>13.348.0050-A</t>
  </si>
  <si>
    <t>18.002.0012-A</t>
  </si>
  <si>
    <t>18.002.0090-A</t>
  </si>
  <si>
    <t>20039</t>
  </si>
  <si>
    <t>MAO-DE-OBRA DE BOMBEIRO HIDRAULICO DA CONSTRUCAO CIVIL, INCLUSIVE ENCARGOS SOCIAIS DESONERADOS</t>
  </si>
  <si>
    <t>20060</t>
  </si>
  <si>
    <t>MAO-DE-OBRA DE ELETRICISTA DA CONSTRUCAOCIVIL, INCLUSIVE ENCARGOS SOCIAIS DESONERADOS</t>
  </si>
  <si>
    <t>18.007.0051-A</t>
  </si>
  <si>
    <t>15.004.0059-A</t>
  </si>
  <si>
    <t>18.021.0035-A</t>
  </si>
  <si>
    <t>15.028.0010-A</t>
  </si>
  <si>
    <t>18.012.0090-A</t>
  </si>
  <si>
    <t>15.036.0041-A</t>
  </si>
  <si>
    <t>15.029.0011-A</t>
  </si>
  <si>
    <t>15.036.0053-A</t>
  </si>
  <si>
    <t>15.036.0050-A</t>
  </si>
  <si>
    <t>15.036.0049-A</t>
  </si>
  <si>
    <t>15.004.0212-A</t>
  </si>
  <si>
    <t>15.004.0180-A</t>
  </si>
  <si>
    <t>06.014.0062-A</t>
  </si>
  <si>
    <t>CAIXA DE PASSAGEM EM ALVENARIA DE TIJOLO MACICO(7X10X20CM),EM PAREDES DE UMA VEZ(0,20M),DE 0,40X0,60X0,60M,UTILIZANDO AR GAMASSA DE CIMENTO E AREIA,NO TRACO 1:4 EM VOLUME,COM FUNDOEM CONCRETO SIMPLES PROVIDO DE CALHA INTERNA,SENDO AS PAREDE S REVESTIDAS INTERNAMENTE COM A MESMA ARGAMASSA,INCLUSIVE TAMPA DE CONCRETO ARMADO,15MPA,COM ESPESSURA DE 10CM</t>
  </si>
  <si>
    <t>20046</t>
  </si>
  <si>
    <t>MAO-DE-OBRA DE CARPINTEIRO DE FORMA DE CONCRETO, INCLUSIVE ENCARGOS SOCIAIS DESONERADOS</t>
  </si>
  <si>
    <t>30353</t>
  </si>
  <si>
    <t>13.001.0030-B EMBOCO ARG. CIM. E AREIA TRACO 1:4</t>
  </si>
  <si>
    <t>30246</t>
  </si>
  <si>
    <t>11.001.0005-B CONCRETO FCK 15MPA</t>
  </si>
  <si>
    <t>30245</t>
  </si>
  <si>
    <t>11.001.0001-B CONCRETO FCK 10MPA</t>
  </si>
  <si>
    <t>30164</t>
  </si>
  <si>
    <t>07.002.0030-B ARGAMASSA CIM.,AREIA TRACO 1:4,PREPAROMECANICO</t>
  </si>
  <si>
    <t>30344</t>
  </si>
  <si>
    <t>12.003.0075-B ALVENARIA TIJ. FURADO 10X20X20CM</t>
  </si>
  <si>
    <t>30312</t>
  </si>
  <si>
    <t>11.013.0003-B VERGAS CONCR. ARMADO P/ ALVEN.</t>
  </si>
  <si>
    <t>18.006.0050-A</t>
  </si>
  <si>
    <t>18.006.0040-A</t>
  </si>
  <si>
    <t>15.015.0203-A 15.010.0070-A</t>
  </si>
  <si>
    <t>15.015.0203-A</t>
  </si>
  <si>
    <t>15.010.0070-A</t>
  </si>
  <si>
    <t>15.007.0570-A</t>
  </si>
  <si>
    <t>15.007.0575-A</t>
  </si>
  <si>
    <t>15.007.0605-A</t>
  </si>
  <si>
    <t>15.011.0084-A</t>
  </si>
  <si>
    <t>30060</t>
  </si>
  <si>
    <t>04.005.0123-B TRANSPORTE CARGA CAMINHAO 8T, 30KM/H</t>
  </si>
  <si>
    <t>30163</t>
  </si>
  <si>
    <t>07.002.0025-B ARGAMASSA CIM.,AREIA TRACO 1:3,PREPAROMECANICO</t>
  </si>
  <si>
    <t>30313</t>
  </si>
  <si>
    <t>11.013.0070-B CONCRETO ARMADO FCK 15MPA</t>
  </si>
  <si>
    <t>14.006.0012-A</t>
  </si>
  <si>
    <t>30998</t>
  </si>
  <si>
    <t>58.002.0412-B TACO DE ALVENARIA (2,5 X 10 X 20)CM</t>
  </si>
  <si>
    <t>14.006.0008-A</t>
  </si>
  <si>
    <t>14.007.0040-A</t>
  </si>
  <si>
    <t>14.007.0060-A</t>
  </si>
  <si>
    <t>18.016.0106-A</t>
  </si>
  <si>
    <t>20131</t>
  </si>
  <si>
    <t>MAO-DE-OBRA DE SERRALHEIRO DA CONSTRUCAOCIVIL, INCLUSIVE ENCARGOS SOCIAIS DESONERADOS</t>
  </si>
  <si>
    <t>14.003.0016-A</t>
  </si>
  <si>
    <t>15.007.0208-A</t>
  </si>
  <si>
    <t>15.008.0105-A</t>
  </si>
  <si>
    <t>12.005.0130-B</t>
  </si>
  <si>
    <t>30247</t>
  </si>
  <si>
    <t>11.001.0006-B CONCRETO FCK 20MPA</t>
  </si>
  <si>
    <t>14.006.0010-A</t>
  </si>
  <si>
    <t>17.018.0110-A</t>
  </si>
  <si>
    <t>20118</t>
  </si>
  <si>
    <t>MAO-DE-OBRA DE PINTOR, INCLUSIVE ENCARGOS SOCIAIS DESONERADOS</t>
  </si>
  <si>
    <t>17.017.0160-A 17.017.0100-A</t>
  </si>
  <si>
    <t>17.017.0100-A</t>
  </si>
  <si>
    <t>17.017.0160-A</t>
  </si>
  <si>
    <t>17.017.0321-A</t>
  </si>
  <si>
    <t>17.017.0050-A 17.017.0010-A</t>
  </si>
  <si>
    <t>17.017.0010-A</t>
  </si>
  <si>
    <t>16.001.0060-A</t>
  </si>
  <si>
    <t>16.004.0018-A</t>
  </si>
  <si>
    <t>16.004.0040-A</t>
  </si>
  <si>
    <t>04.014.0095-A</t>
  </si>
  <si>
    <t>30731</t>
  </si>
  <si>
    <t>19.007.0013-E VIBRADOR IMERSAO ELETR. 2CV (CI)</t>
  </si>
  <si>
    <t>30730</t>
  </si>
  <si>
    <t>19.007.0013-C VIBRADOR IMERSAO ELETR. 2CV (CP)</t>
  </si>
  <si>
    <t xml:space="preserve">17.017.0050-A </t>
  </si>
  <si>
    <t>ARRANCAMENTO DE GRADES,GRADIS,ALAMBRADOS,CERCAS E PORTOES (OBS.:3%-DESGASTE DE FERRAMENTAS E EPI).</t>
  </si>
  <si>
    <t>05.001.0147-A</t>
  </si>
  <si>
    <t>X</t>
  </si>
  <si>
    <t>UNIT s/ BDI</t>
  </si>
  <si>
    <t>UNITc/ BDI</t>
  </si>
  <si>
    <t>TOTAL s/ BDI</t>
  </si>
  <si>
    <t>TOTAL c/ BDI</t>
  </si>
  <si>
    <t>12.005.0130-b ALVENARIA P/ CX.ENTERRADA, 0;80M (1VEZ)</t>
  </si>
  <si>
    <r>
      <t xml:space="preserve">PINTURA COM TINTA LATEX SEMIBRILHANTE,FOSCA OU ACETINADA,CLASSIFICACAO PREMIUM OU STANDARD (NBR 15079),PARA INTERIOR E E XTERIOR,BRANCA OU COLORIDA,SOBRE TIJOLO,CONCRETO LISO,CIMENTO SEM AMIANTO,E REVESTIMENTO,INCLUSIVE LIXAMENTO,UMA DEMAO D E SELADOR ACRILICO E DUAS DEMAOS DE ACABAMENTO (OBS.:3%-DESGASTE DE FERRAMENTAS E EPI). </t>
    </r>
    <r>
      <rPr>
        <b/>
        <sz val="11"/>
        <rFont val="Arial"/>
        <family val="2"/>
      </rPr>
      <t>(INTERNA)</t>
    </r>
  </si>
  <si>
    <r>
      <t xml:space="preserve">PINTURA COM TINTA LATEX SEMIBRILHANTE,FOSCA OU ACETINADA,CLASSIFICACAO PREMIUM OU STANDARD (NBR 15079),PARA INTERIOR E E XTERIOR,BRANCA OU COLORIDA,SOBRE TIJOLO,CONCRETO LISO,CIMENTO SEM AMIANTO,E REVESTIMENTO,INCLUSIVE LIXAMENTO,UMA DEMAO D E SELADOR ACRILICO E DUAS DEMAOS DE ACABAMENTO (OBS.:3%-DESGASTE DE FERRAMENTAS E EPI). </t>
    </r>
    <r>
      <rPr>
        <b/>
        <sz val="11"/>
        <rFont val="Arial"/>
        <family val="2"/>
      </rPr>
      <t>(EXTERNA)</t>
    </r>
  </si>
  <si>
    <r>
      <t>PINTURA INTERNA OU EXTERNA COM TINTA IMPERMEAVEL EM CORES PARA APLICACAO SOBRE CONCRETO,TIJOLOS,PEDRAS OU ARGAMASSA DE SUPERFICIE POROSA, EM DUAS DEMAOS, USANDO AGUA COMO DILUENTE</t>
    </r>
    <r>
      <rPr>
        <b/>
        <sz val="11"/>
        <rFont val="Arial"/>
        <family val="2"/>
      </rPr>
      <t xml:space="preserve"> (MURO)</t>
    </r>
  </si>
  <si>
    <t>7.7</t>
  </si>
  <si>
    <t>05.006.0002-B</t>
  </si>
  <si>
    <t>ALUGUEL DE TORRE-ANDAIME TUBULAR SOBRE RODIZIOS,EXCLUSIVE ALUGUEL DOS RODIZIOS,TRANSPORTE DOS ELEMENTOS DA TORRE,PLATAFO RMA OU PASSARELA DE PINHO,MONTAGEM E DESMONTAGEM</t>
  </si>
  <si>
    <t>MXMES</t>
  </si>
  <si>
    <t>02724</t>
  </si>
  <si>
    <t>UNxDIA</t>
  </si>
  <si>
    <t>7.8</t>
  </si>
  <si>
    <t>04.020.0122-A</t>
  </si>
  <si>
    <t>TRANSPORTE DE ANDAIME TUBULAR,CONSIDERANDO-SE A AREA DE PROJECAO VERTICAL DO ANDAIME,EXCLUSIVE CARGA,DESCARGA E TEMPO DE ESPERA DO CAMINHAO(VIDE ITEM 04.021.0010)</t>
  </si>
  <si>
    <t>M2XKM</t>
  </si>
  <si>
    <t>30411</t>
  </si>
  <si>
    <t>19.004.0001-C CAMINHAO CARROC. FIXA, 3,5T (CP)</t>
  </si>
  <si>
    <t>04.021.0010-A</t>
  </si>
  <si>
    <t>CARGA E DESCARGA MANUAL DE ANDAIME TUBULAR,INCLUSIVE TEMPO DE ESPERA DO CAMINHAO,CONSIDERANDO-SE A AREA DE PROJECAO VERT ICAL (OBS.:3%-DESGASTE DE FERRAMENTAS E EPI).</t>
  </si>
  <si>
    <t>30413</t>
  </si>
  <si>
    <t>19.004.0001-E CAMINHAO CARROC. FIXA, 3,5T (CI)</t>
  </si>
  <si>
    <t>05.008.0001-A</t>
  </si>
  <si>
    <t>MONTAGEM E DESMONTAGEM DE ANDAIME COM ELEMENTOS TUBULARES,CONSIDERANDO-SE A AREA VERTICAL RECOBERTA (OBS.:3%-DESGASTE DE FERRAMENTAS E EPI).</t>
  </si>
  <si>
    <t>05.005.0012-B</t>
  </si>
  <si>
    <t>PLATAFORMA OU PASSARELA DE MADEIRA DE 1¦,CONSIDERANDO-SE APROVEITAMENTO DA MADEIRA 20 VEZES,EXCLUSIVE ANDAIME OU OUTRO SUPORTE E MOVIMENTACAO(VIDE ITEM 05.008.0008)</t>
  </si>
  <si>
    <t>05937</t>
  </si>
  <si>
    <t>05.008.0008-B</t>
  </si>
  <si>
    <t>MOVIMENTACAO VERTICAL OU HORIZONTAL DE PLATAFORMA OU PASSARELA (OBS.:3%-DESGASTE DE FERRAMENTAS E EPI).</t>
  </si>
  <si>
    <t>7.9</t>
  </si>
  <si>
    <t>7.10</t>
  </si>
  <si>
    <t>7.11</t>
  </si>
  <si>
    <t>7.12</t>
  </si>
  <si>
    <t>14.007.0266-A</t>
  </si>
  <si>
    <t>FERRAGENS PARA PORTAS DE ABRIR,DE FERRO OU ALUMINIO,CONSTANDO DE FORNECIMENTO DAS PECAS:-FECHADURA DE CILINDRO OVALADO P ARA MONTANTES ESTREITOS,EM LATAO,ACABAMENTO CROMADO;-ESPELHORETANGULAR,EM LATAO,ACABAMENTO CROMADO OU ROSETA CIRCULAR E M LATAO,ACABAMENTO CROMADO;-MACANETA TIPO ALAVANCA,EM LATAO,ZAMAK OU ACO ZINCADO,ACABAMENTO CROMADO,EXCLUSIVE DOBRADICA S</t>
  </si>
  <si>
    <t>02918</t>
  </si>
  <si>
    <t>FECHADURA DE CILINDRO OVALADO PARA MONTANTES ESTREITOS, EM LATAO, ACABAMENTO CROMADO</t>
  </si>
  <si>
    <t>PINUS, EM PECAS DE 7,50X7,50CM (3"X3")</t>
  </si>
  <si>
    <t>TAPUME DE VEDACAO OU PROTECAO,EXECUTADO C/CHAPAS DE MADEIRA COMPENSADA,RESINADA,LISA,DE COLAGEM FENOLICA,A PROVA D`AGUA, COM 2,20X1,10M E 6MM DE ESPESSURA,PREGADAS EM PECAS DE MADEIRA DE 3¦ DE 3"X3" HORIZONTAIS E VERTICAIS A CADA 1,22M,EXCLU SIVE PINTURA,COM UTILIZACAO 2 VEZES (OBS.:3% - DESGASTE DE FERRAMENTAS E EPI).</t>
  </si>
  <si>
    <t>PINUS, EM PECAS DE 2,50X30,00CM (1"X12")</t>
  </si>
  <si>
    <t>SI00000088316</t>
  </si>
  <si>
    <t>SERVENTE COM ENCARGOS COMPLEMENTARES</t>
  </si>
  <si>
    <t>SI00000088309</t>
  </si>
  <si>
    <t>PEDREIRO COM ENCARGOS COMPLEMENTARES</t>
  </si>
  <si>
    <t>CHP</t>
  </si>
  <si>
    <t>L</t>
  </si>
  <si>
    <t>SI00000088262</t>
  </si>
  <si>
    <t>CARPINTEIRO DE FORMAS COM ENCARGOS COMPLEMENTARES</t>
  </si>
  <si>
    <t>RABICHO PLASTICO COM SAIDA DE 1/2" E COMCOMPRIMENTO DE 30CM</t>
  </si>
  <si>
    <t>15.004.0103-A</t>
  </si>
  <si>
    <t>INSTALACAO E ASSENTAMENTO VASO SANITARIO INDIVIDUAL COM CAIXA ACOPLADA(EXCLUSIVE ESTES),PAVIMENTO ELEVADO,COMPREENDENDO: INSTALACAO HIDRAULICA C/2,00M TUBO DE PVC 25MM,C/CONEXOES,ATE A CAIXA ACOPLADA,LIGACAO DE ESGOTOS COM 3,00M DE TUBO DE P VC 100MM AOS TUBOS DE QUEDA E VENTILACAO,INCLUSIVE CONEXOES,EXCLUSIVE OS TUBOS DE QUEDA E VENTILACAO (OBS.:3%-DESGASTE DE FERRAMENTAS E EPI).</t>
  </si>
  <si>
    <t>JOELHO 90§ DE PVC SOLDAVEL COM BUCHA DELATAO, DE 25MMX1/2"</t>
  </si>
  <si>
    <t>PORTA DE MADEIRA DE LEI EM COMPENSADO DE 80X210X3,5CM FOLHEADA NAS 2 FACES,ADUELA DE 13X3CM E ALIZARES DE 5X2CM,EXCLUSIV E FERRAGENS.FORNECIMENTO E COLOCACAO (OBS.:3%-DESGASTE DE FERRAMENTAS E EPI).</t>
  </si>
  <si>
    <t>PORTA DE MADEIRA DE LEI EM COMPENSADO DE 70X210X3,5CM,FOLHEADA NAS 2 FACES,ADUELA DE 13X3CM E ALIZARES DE 5X2CM,EXCLUSIV E FERRAGENS.FORNECIMENTO E COLOCACAO (OBS.:3%-DESGASTE DE FERRAMENTAS E EPI).</t>
  </si>
  <si>
    <t>PORTA DE MADEIRA DE LEI EM COMPENSADO DE 90X210X3,5CM FOLHEADA NAS 2 FACES,ADUELA DE 13X3CM E ALIZARES DE 5X2CM,EXCLUSIV E FERRAGENS.FORNECIMENTO E COLOCACAO (OBS.:3%-DESGASTE DE FERRAMENTAS E EPI).</t>
  </si>
  <si>
    <t>FERRAGENS P/PORTAS DE MADEIRA,1 FOLHA DE ABRIR,INTERNAS,SOCIAIS OU DE SERVICO,CONSTANDO DE FORNEC.S/COLOC.,DE:-FECHADURA TIPO GORGE,TRINCO REVERSIVEL,EM LATAO,ACABAMENTO CROMADO;-ENTRADA E ROSETA CIRCULARES,LATAO LAMINADO,ACABAMENTO CROMADO ;-MACANETA TIPO ALAVANCA,EM LATAO,ACABAMENTO CROMADO;-3 DOBRADICAS FERRO GALVANIZADO 3"X2.1/2",COM PINO E BOLAS DE FERRO</t>
  </si>
  <si>
    <t>DOBRADICA EM ACO LAMINADO C/PINOS, BOLASE ANEIS DE LATAO, DE 3"X2.1/2"X5/64"</t>
  </si>
  <si>
    <t>14.003.0205-A</t>
  </si>
  <si>
    <t>PORTA DE ALUMINIO ANODIZADO AO NATURAL,EM 2 FOLHAS DE ABRIR,TENDO 1 CONTRAPINAZIO DIVIDINDO A ESQUADRIA EM 2 VAZIOS PARA VIDRO,EM PERFIS SERIE 25,EXCLUSIVE FECHADURA.FORNECIMENTO ECOLOCACAO (OBS.:3%-DESGASTE DE FERRAMENTAS E EPI 39%-ANODIZACAO E ACESSORIOS).</t>
  </si>
  <si>
    <t>FERRAGENS PORTAS MAD.1 FOLHA,ABRIR,P/BANHEIRO,CONSTANDO FORN.S/COLOC.DE:-FECHADURA TIP.TRANQUETA,TRINCO REVERSIVEL,LATAO ,ACABAMENTO CROMADO;-MACANETA TIPO ALAVANCA,LATAO,ACABAMENTOCROMADO;-TRANQUETA TRINCO ACOPLADO,CIRCULAR,LATAO LAMINADO, ACABAMENTO CROMADO;-ENTRADA CIRCULAR,LATAO, ACABAMENTO CROMADO;-3 DOBRADICAS FERRO GALV.3"X2.1/2",PINO E BOLAS DE LATAO</t>
  </si>
  <si>
    <r>
      <t xml:space="preserve">Janela de alumínio anodizado ao natural de correr, duas folhas de correr e bandeira de 0,50m de altura com painéis basculantes, em perfis série 28. FORNECIMENTO e COLOCAÇÃO </t>
    </r>
    <r>
      <rPr>
        <b/>
        <sz val="11"/>
        <color indexed="8"/>
        <rFont val="Arial"/>
        <family val="2"/>
      </rPr>
      <t>(1,20x1,50m)</t>
    </r>
  </si>
  <si>
    <t>0034357</t>
  </si>
  <si>
    <t>REJUNTE COLORIDO, CIMENTICIO</t>
  </si>
  <si>
    <t>0001381</t>
  </si>
  <si>
    <t>ARGAMASSA COLANTE AC I PARA CERAMICAS</t>
  </si>
  <si>
    <t>0001292</t>
  </si>
  <si>
    <t>PISO EM CERAMICA ESMALTADA EXTRA, PEI MAIOR OU IGUAL A 4, FORMATO MAIOR QUE 2025 CM2</t>
  </si>
  <si>
    <t>SI00000088256</t>
  </si>
  <si>
    <t>AZULEJISTA OU LADRILHISTA COM ENCARGOS COMPLEMENTARES</t>
  </si>
  <si>
    <t>SI00000087257</t>
  </si>
  <si>
    <t>REVESTIMENTO CERÂMICO PARA PISO COM PLACAS TIPO ESMALTADA EXTRA DE DIMENSÕES 60X60 CM APLICADA EM AMBIENTES DE ÁREA MAIOR QUE 10 M2. AF_06/2014</t>
  </si>
  <si>
    <t>13.030.0290-A</t>
  </si>
  <si>
    <t>REVESTIMENTO DE PAREDES COM CERAMICA,MEDINDO EM TORNO DE 32X57CM,ASSENTE CONFORME ITEM 13.025.0016 (OBS.:3%-DESGASTE DE FERRAMENTAS E EPI).</t>
  </si>
  <si>
    <t>11204</t>
  </si>
  <si>
    <t>LADRILHO CERAMICO COM MEDIDAS EM TORNODE (32X57)CM</t>
  </si>
  <si>
    <t>05350</t>
  </si>
  <si>
    <t>OXIDO DE FERRO</t>
  </si>
  <si>
    <t>30358</t>
  </si>
  <si>
    <t>13.002.0011-B REVESTIMENTO EXT. ARG. 1:3:3 ESP. 2,5CM</t>
  </si>
  <si>
    <t>30350</t>
  </si>
  <si>
    <t>13.001.0010-B CHAPISCO SUPERF. CONCR./ALVEN.,COM ARGAMASSA DE CIMENTO E AREIA NO TRACO 1:3</t>
  </si>
  <si>
    <t>MACARANDUBA EM PECAS, DE 7,50X7,50CM (3"X3")</t>
  </si>
  <si>
    <t>MADEIRAMENTO PARA COBERTURA EM TELHAS ONDULADAS,CONSTITUIDO DE PECAS DE 3"X3" E 3"X4.1/2",EM MADEIRA SERRADA,SEM TESOURA OU PONTALETE,MEDIDO PELA AREA REAL DO MADEIRAMENTO.FORNECIMENTO E COLOCACAO (OBS.:3%-DESGASTE DE FERRAMENTAS E EPI).</t>
  </si>
  <si>
    <t>MACARANDUBA EM PECAS, DE 7,50X11,25CM (3"X4.1/2")</t>
  </si>
  <si>
    <t>TORNEIRA DE PRESSAO DE 1/2", SEM AREJADOR</t>
  </si>
  <si>
    <t>SIFAO EM METAL CROMADO, DE 1"X1.1/4"</t>
  </si>
  <si>
    <t>VALVULA DE ESCOAMENTO, P/LAVATORIO, 1603, EM METAL CROMADO, DE 1"</t>
  </si>
  <si>
    <t>ELETRODUTO DE PVC PRETO, RIGIDO ROSQUEAVEL, COM ROSCA EM AMBAS EXTREMIDADES, EMBARRAS DE 3 METROS, DE 3/4"</t>
  </si>
  <si>
    <t>DUCHINHA MANUAL, COM MANGUEIRA CROMADA DE 1/2"</t>
  </si>
  <si>
    <t>FLANGE DE PVC RIGIDO COM ROSCA SEXTAVADA, SEM FUROS, DE 1.1/2"</t>
  </si>
  <si>
    <t>TORNEIRA DE BOIA EM BRONZE, DE PRESSAO,DE 3/4"</t>
  </si>
  <si>
    <t>REGISTRO DE GAVETA DE BRONZE, DE 1¦ QUALIDADE COM ROSCA DE AMBOS OS LADOS, DE 2"</t>
  </si>
  <si>
    <t>REGISTRO DE GAVETA DE BRONZE, DE 1¦ QUALIDADE COM ROSCA DE AMBOS OS LADOS, DE 3/4"</t>
  </si>
  <si>
    <t>VALVULA DE ESCOAMENTO, P/PIA DE COZINHA,1623, EM METAL CROMADO, DE 1.1/2"X3.3/4"</t>
  </si>
  <si>
    <t>SIFAO EM METAL CROMADO, DE 1.1/2"X1.1/2"</t>
  </si>
  <si>
    <t>CAIXA DE LUZ DE PVC, DE 4"x4"</t>
  </si>
  <si>
    <t>CAIXA DE LUZ DE PVC, DE 4"x2"</t>
  </si>
  <si>
    <t>CURVA 90§ DE PVC RIGIDO, ROSQUEAVEL, PARA ELETRODUTO, DE 3/4"</t>
  </si>
  <si>
    <t>LUVA DE PVC RIGIDO ROSQUEAVEL, PARA ELETRODUTO, DE 3/4"</t>
  </si>
  <si>
    <t>BUCHA E ARRUELA DE ALUMINIO PARA ELETRODUTO, DE 3/4"</t>
  </si>
  <si>
    <t>TOMADA ELETRICA 2P+T, 10A/250V, PADRAO BRASILEIRO, DE EMBUTIR, COM PLACA 4"X2"</t>
  </si>
  <si>
    <t>CAIXA DE LUZ DE PVC, DE 3"x3"</t>
  </si>
  <si>
    <t>SUPORTE TIPO PE DE GALINHA PARA FIXACAODE LUMINARIAS</t>
  </si>
  <si>
    <t>SUPORTE P/LAMPADA TUBULAR</t>
  </si>
  <si>
    <t>BOX DE ALUMINIO CURVO, DE 1.1/4"</t>
  </si>
  <si>
    <t>ELETRODUTO DE PVC PRETO, RIGIDO ROSQUEAVEL, COM ROSCA EM AMBAS EXTREMIDADES, EMBARRAS DE 3 METROS, DE 1.1/4"</t>
  </si>
  <si>
    <t>CURVA 90§ DE PVC RIGIDO, ROSQUEAVEL, PARA ELETRODUTO, DE 1.1/4"</t>
  </si>
  <si>
    <t>LUVA DE PVC RIGIDO ROSQUEAVEL, P/ELETRODUTO, DE 1.1/4"</t>
  </si>
  <si>
    <t>CINTA GALVANIZADA, COM PARAFUSOS, DE 4"</t>
  </si>
  <si>
    <t>BUCHA E ARRUELA DE ALUMINIO PARA ELETRODUTO, DE 1.1/4"</t>
  </si>
  <si>
    <t>HASTE PARA ATERRAMENTO, DE COBRE, NO DIAMETRO DE 5/8``(16MM) E COM COMPRIMENTO DE 3,00M</t>
  </si>
  <si>
    <t>07324</t>
  </si>
  <si>
    <t>ADESIVO A BASE DE RESINA SINTETICA DE ALTA ADERENCIA, EMBALAGEM DE 18L</t>
  </si>
  <si>
    <t>00156</t>
  </si>
  <si>
    <t>TINTA MINERAL IMPERMEAVEL</t>
  </si>
  <si>
    <t>ALUGUEL DE DOIS ELEMENTOS TS-3 E DUAS DIAGONAIS "X", EXCLUSIVE TRANSPORTE, PARAANDAIME TUBULAR</t>
  </si>
  <si>
    <t>MACARANDUBA EM PECAS, DE 7,50X30,00CM (3"X12")</t>
  </si>
  <si>
    <t>15.015.0250-A</t>
  </si>
  <si>
    <t>INSTALACAO DE PONTO DE TOMADA,EMBUTIDO NA ALVENARIA,EQUIVALENTE A 2 VARAS DE ELETRODUTO DE PVC RIGIDO DE 3/4",18,00M DE FIO 2,5MM2,CAIXAS,CONEXOES E TOMADA DE EMBUTIR,2P+T,10A,PADRAO BRASILEIRO,COM PLACA FOSFORESCENTE,INCLUSIVE ABERTURA E F ECHAMENTO DE RASGO EM ALVENARIA (OBS.:3%-DESGASTE DE FERRAMENTAS E EPI).</t>
  </si>
  <si>
    <t>INSTALACAO DE PONTO DE TOMADA,EMBUTIDO NA ALVENARIA,EQUIVALENTE A 2 VARAS DE ELETRODUTO DE PVC RIGIDO DE 3/4",18,00M DE FIO 2,5MM2,CAIXAS,CONEXOES E TOMADA DE EMBUTIR,2P+T,10A,PADRAO BRASILEIRO,COM PLACA FOSFORESCENTE,INCLUSIVE ABERTURA E F ECHAMENTO DE RASGO EM ALVENARIA (AR CONDICIONADO).</t>
  </si>
  <si>
    <t>15.007.0600-A</t>
  </si>
  <si>
    <t>DISJUNTOR TERMOMAGNETICO,TRIPOLAR,DE 10 A 50AX250V.FORNECIMENTO E COLOCACAO (OBS.:3%-DESGASTE DE FERRAMENTAS E EPI).</t>
  </si>
  <si>
    <t>02440</t>
  </si>
  <si>
    <t>DISJUNTOR TRIFASICO DE 250V, DE 010 A 050A</t>
  </si>
  <si>
    <t>15.007.0504-A</t>
  </si>
  <si>
    <t>QUADRO DE DISTRIBUICAO DE ENERGIA PARA DISJUNTORES TERMO-MAGNETICOS UNIPOLARES,DE EMBUTIR,COM PORTA E BARRAMENTOS DE FAS E,NEUTRO E TERRA,TRIFASICO,PARA INSTALACAO DE ATE 18 DISJUNTORES COM DISPOSITIVO PARA CHAVE GERAL.FORNECIMENTO E COLOCAC AO. (OBS.:3%-DESGASTE DE FERRAMENTAS E EPI).</t>
  </si>
  <si>
    <t>02437</t>
  </si>
  <si>
    <t>QUADRO EMBUTIR, C/PORTA, P/DISJUNTORES TERMOMAGN.BARRAM.(TRIFASICO E NEUTRO) E DISPOS.P/CHAVE GERAL,INSTAL.18 DISJ.MONOF</t>
  </si>
  <si>
    <t>15.007.0507-A</t>
  </si>
  <si>
    <t>QUADRO DE DISTRIBUICAO DE ENERGIA PARA DISJUNTORES TERMO-MAGNETICOS UNIPOLARES,DE EMBUTIR,COM PORTA E BARRAMENTOS DE FAS E,NEUTRO E TERRA,TRIFASICO,PARA INSTALACAO DE ATE 24 DISJUNTORES COM DISPOSITIVO PARA CHAVE GERAL.FORNECIMENTO E COLOCAC AO. (OBS.:3%-DESGASTE DE FERRAMENTAS E EPI).</t>
  </si>
  <si>
    <t>02438</t>
  </si>
  <si>
    <t>QUADRO EMBUTIR, C/PORTA, P/DISJUNTORES TERMOMAGN., BARRAMENTOS (TRIFASICO E NEUTRO) DISPOS.P/CHAVE GERAL,P/24 DISJ.MONOF</t>
  </si>
  <si>
    <t>5.18</t>
  </si>
  <si>
    <t>5.19</t>
  </si>
  <si>
    <t>15.018.0136-A</t>
  </si>
  <si>
    <t>CAIXA DE PASSAGEM N§1 PARA TELEFONE,CONFORME ESPECIFICACAO DA TELEBRAS,NAS DIMENSOES DE 10X10X5CM.FORNECIMENTO E COLOCAC AO (OBS.:3%-DESGASTE DE FERRAMENTAS E EPI).</t>
  </si>
  <si>
    <t>5.20</t>
  </si>
  <si>
    <t>5.21</t>
  </si>
  <si>
    <t>5.22</t>
  </si>
  <si>
    <t>5.23</t>
  </si>
  <si>
    <t>15.019.0035-A</t>
  </si>
  <si>
    <t>INTERRUPTOR THREE-WAY DE EMBUTIR COM TECLA FOSFORESCENTE,INCLUSIVE PLACA.FORNECIMENTO E COLOCACAO (OBS.:3%-DESGASTE DE FERRAMENTAS E EPI).</t>
  </si>
  <si>
    <t>00310</t>
  </si>
  <si>
    <t>INTERRUPTOR DE EMBUTIR, FOSFORESCENTE, C/PLACA, DE "THREE-WAY"</t>
  </si>
  <si>
    <t>15.036.0052-A</t>
  </si>
  <si>
    <t>TUBO DE PVC RIGIDO DE 100MM,SOLDAVEL,INCLUSIVE CONEXOES E EMENDAS,EXCLUSIVE ABERTURA E FECHAMENTO DE RASGO.FORNECIMENTO E ASSENTAMENTO (OBS.:3%-DESGASTE DE FERRAMENTAS E EPI 10%-CONEXOES E EMENDAS).</t>
  </si>
  <si>
    <t>15.002.0062-A</t>
  </si>
  <si>
    <t>CAIXA DE GORDURA SIMPLES CILINDRICA,PRE-FABRICADA EM ANEIS DE CONCRETO,COM DIAMETRO DE 40CM E PROFUNDIDADE TOTAL DE 60CM ,INCLUSIVE TAMPA DE CONCRETO.FORNECIMENTO E COLOCACAO (OBS.:3%-DESGASTE DE FERRAMENTAS E EPI).</t>
  </si>
  <si>
    <t>02323</t>
  </si>
  <si>
    <t>CAIXA DE GORDURA, PRE-FABRICADA DE CONCRETO, COM TAMPA, MODELO SIMPLES</t>
  </si>
  <si>
    <t>00149</t>
  </si>
  <si>
    <t>CIMENTO PORTLAND CP II 32, EM SACO DE 50KG</t>
  </si>
  <si>
    <t>Caixa ralo de alvenaria de blocos de concreto (10x20x40cm), em paredes de meia vez (0,10m), utilizando argamassa de cimento e areia, no traço 1:4 em volume, com fundo em concreto simples provido de calha interna, sendo as paredes revestidas internamente com a mesma argamassa, inclusive grelha  medindo 0,50 x 0,50 x 0,50m</t>
  </si>
  <si>
    <t>a</t>
  </si>
  <si>
    <t>15.036.0039-A</t>
  </si>
  <si>
    <t>05693</t>
  </si>
  <si>
    <t>TUBO DE PVC RIGIDO SOLDAVEL, PONTA/BOLSA, EM BARRAS DE 6,00M, DE 040MM</t>
  </si>
  <si>
    <t>15.036.0037-A</t>
  </si>
  <si>
    <t>TUBO DE PVC RIGIDO DE 25MM,SOLDAVEL,INCLUSIVE CONEXOES E EMENDAS,EXCLUSIVE ABERTURA E FECHAMENTO DE RASGO.FORNECIMENTO E ASSENTAMENTO (OBS.:3%-DESGASTE DE FERRAMENTAS E EPI 10%-CONEXOES E EMENDAS).</t>
  </si>
  <si>
    <t>15.036.0036-A</t>
  </si>
  <si>
    <t>TUBO DE PVC RIGIDO DE 20MM,SOLDAVEL,INCLUSIVE CONEXOES E EMENDAS,EXCLUSIVE ABERTURA E FECHAMENTO DE RASGO.FORNECIMENTO E ASSENTAMENTO (OBS.:3%-DESGASTE DE FERRAMENTAS E EPI 10%-CONEXOES E EMENDAS).</t>
  </si>
  <si>
    <t>15.029.0015-A</t>
  </si>
  <si>
    <t>REGISTRO DE GAVETA,EM BRONZE,COM DIAMETRO DE 2".FORNECIMENTO E COLOCACAO (OBS.:3%-DESGASTE DE FERRAMENTAS E EPI).</t>
  </si>
  <si>
    <t>15.029.0013-A</t>
  </si>
  <si>
    <t>REGISTRO DE GAVETA,EM BRONZE,COM DIAMETRO DE 1.1/4".FORNECIMENTO E COLOCACAO (OBS.:3%-DESGASTE DE FERRAMENTAS E EPI).</t>
  </si>
  <si>
    <t>00704</t>
  </si>
  <si>
    <t>REGISTRO DE GAVETA DE BRONZE, DE 1¦ QUALIDADE COM ROSCA DE AMBOS OS LADOS, DE 1.1/4"</t>
  </si>
  <si>
    <t>18.002.0070-A</t>
  </si>
  <si>
    <t>VASO SANITARIO DE LOUCA BRANCA,TIPO MEDIO LUXO,COM CAIXA ACOPLADA,INCLUSIVE RABICHO CROMADO DE 40CM,COM SAIDA DE 1/2",BO LSA DE LIGACAO E ACESSORIOS DE FIXACAO.FORNECIMENTO</t>
  </si>
  <si>
    <t>13103</t>
  </si>
  <si>
    <t>VASO SANITARIO, DE LOUCA BRANCA, TIPO MEDIO LUXO, COM CAIXA ACOPLADA, INCLUSIVEACESSORIOS DE FIXACAO</t>
  </si>
  <si>
    <t>02978</t>
  </si>
  <si>
    <t>RABICHO CROMADO COM SAIDA DE 1/2" E COMCOMPRIMENTO DE 40CM</t>
  </si>
  <si>
    <t>SI00000086904</t>
  </si>
  <si>
    <t>LAVATÓRIO LOUÇA BRANCA SUSPENSO, 29,5 X 39CM OU EQUIVALENTE, PADRÃO POPULAR - FORNECIMENTO E INSTALAÇÃO. AF_12/2013</t>
  </si>
  <si>
    <t>0037329</t>
  </si>
  <si>
    <t>REJUNTE EPOXI BRANCO</t>
  </si>
  <si>
    <t>0010425</t>
  </si>
  <si>
    <t>LAVATORIO LOUCA BRANCA SUSPENSO *40 X 30* CM</t>
  </si>
  <si>
    <t>0004351</t>
  </si>
  <si>
    <t>PARAFUSO NIQUELADO 3 1/2" COM ACABAMENTO CROMADO PARA FIXAR PECA SANITARIA, INCLUI PORCA CEGA, ARRUELA E BUCHA DE NYLON TAMANHO S-8</t>
  </si>
  <si>
    <t>SI00000088267</t>
  </si>
  <si>
    <t>ENCANADOR OU BOMBEIRO HIDRÁULICO COM ENCARGOS COMPLEMENTARES</t>
  </si>
  <si>
    <t>18.082.0050-A</t>
  </si>
  <si>
    <t>BANCA DE GRANITO CINZA ANDORINHA,COM 3CM DE ESPESSURA,COM ABERTURA PARA 1 CUBA(EXCLUSIVE ESTA),SOBRE APOIOS DE ALVENARIA DE MEIA VEZ E VERGA DE CONCRETO,SEM REVESTIMENTO.FORNECIMENTO E COLOCACAO (OBS.:3%-DESGASTE DE FERRAMENTAS E EPI).</t>
  </si>
  <si>
    <t>13359</t>
  </si>
  <si>
    <t>BANCA DE GRANITO CINZA ANDORINHA, COM 3CM, DE ESPESSURA, COM 1 ABERTURA PARA CUBA (EXCLUSIVE CUBA)</t>
  </si>
  <si>
    <t>18.016.0040-A</t>
  </si>
  <si>
    <t>CUBA DE ACO INOXIDAVEL DE 500X400X200MM,EM CHAPA 20.304,VALVULA DE ESCOAMENTO TIPO AMERICANA 1623,SIFAO 1680 1.1/2"X1.1/ 2",EXCLUSIVE TORNEIRA.FORNECIMENTO E COLOCACAO (OBS.:3%-DESGASTE DE FERRAMENTAS E EPI).</t>
  </si>
  <si>
    <t>02592</t>
  </si>
  <si>
    <t>CUBA DE ACO INOXIDAVEL, CHAPA 20/304, SIMPLES, DE (500X400X200)MM</t>
  </si>
  <si>
    <t>BARRA DE APOIO EM ACO INOXIDAVEL AISI 304,TUBO DE 1.1/4",INCLUSIVE FIXACAO COM PARAFUSOS INOXIDAVEIS E BUCHAS PLASTICAS, COM 80CM,PARA PESSOAS COM NECESSIDADES ESPECIFICAS.FORNECIMENTO E COLOCACAO (OBS.:3%-DESGASTE DE FERRAMENTAS E EPI).</t>
  </si>
  <si>
    <t>BARRA DE APOIO, EM ACO INOXIDAVEL AISI 304, TUBO DE 1.1/4", COM 80CM</t>
  </si>
  <si>
    <t>18.016.0100-A</t>
  </si>
  <si>
    <t>BARRA DE APOIO PARA LAVATORIO DE CENTRO,EM ACO INOXIDAVEL AISI 304,TUBO DE 1.1/4",INCLUSIVE FIXACAO COM PARAFUSOS INOXID AVEIS E BUCHAS PLASTICAS,MEDINDO 60X40CM,PARA PESSOAS COM NECESSIDADES ESPECIFICAS.FORNECIMENTO E COLOCACAO (OBS.:3%-DESGASTE DE FERRAMENTAS E EPI).</t>
  </si>
  <si>
    <t>13145</t>
  </si>
  <si>
    <t>BARRA DE APOIO,EM ACO INOXIDAVEL AISI304DIAM 1.1/4",PARA LAVATORIO DE CENTRO MED(60X40)CM,INCL PARAF INOX E BUCHAS PLAST</t>
  </si>
  <si>
    <t>18.009.0060-A</t>
  </si>
  <si>
    <t>TORNEIRA PARA PIA,COM AREJADOR,1157 DE 1/2"X21CM APROXIMADAMENTE,EM METAL CROMADO.FORNECIMENTO</t>
  </si>
  <si>
    <t>03937</t>
  </si>
  <si>
    <t>TORNEIRA PARA PIA, COM AREJADOR, EM METAL CROMADO, DE APROXIM. 1/2"X21CM</t>
  </si>
  <si>
    <t>13.002.0011-b</t>
  </si>
  <si>
    <t>13.002.0011-B</t>
  </si>
  <si>
    <t>REVESTIMENTO EXTERNO,DE UMA VEZ,COM ARGAMASSA DE CIMENTO,SAIBRO MACIO E AREIA FINA,NO TRACO 1:3:3,COM ESPESSURA DE 2,5CM ,INCLUSIVE CHAPISCO DE CIMENTO E AREIA,NO TRACO 1:3 (OBS.:3%-DESGASTE DE FERRAMENTAS E EPI).</t>
  </si>
  <si>
    <t>30182</t>
  </si>
  <si>
    <t>07.007.0020-B ARGAMASSA CIM.,SAIBRO,AREIA 1:3:3,PREPARO MECANICO</t>
  </si>
  <si>
    <t>13.333.0010-A</t>
  </si>
  <si>
    <t>REVESTIMENTO DE PISO COM CERAMICA TATIL DIRECIONAL,(LADRILHO HIDRAULICO),PARA PESSOAS COM NECESSIDADES ESPECIFICAS,ASSEN TES SOBRE SUPERFICIE EM OSSO,CONFORME ITEM 13.330.0010 (OBS.:3%-DESGASTE DE FERRAMENTAS E EPI).</t>
  </si>
  <si>
    <t>11227</t>
  </si>
  <si>
    <t>PISO CERAMICO TATIL DIRECIONAL, AMARELO,PARA PORTADORES DE NECESSIDADES ESPECIFICAS</t>
  </si>
  <si>
    <t>13.333.0015-A</t>
  </si>
  <si>
    <t>REVESTIMENTO DE PISO COM CERAMICA TATIL ALERTA,(LADRILHO HIDRAULICO) PARA PESSOAS COM NECESSIDADES ESPECIFICAS,ASSENTES SOBRE SUPERFICIE EM OSSO,CONFORME ITEM 13.330.0010 (OBS.:3%-DESGASTE DE FERRAMENTAS E EPI).</t>
  </si>
  <si>
    <t>11228</t>
  </si>
  <si>
    <t>PISO CERAMICO TATIL ALERTA, AMARELO, PARA PORTADORES DE NECESSIDADES ESPECIFICAS</t>
  </si>
  <si>
    <r>
      <t>BANCA DE GRANITO CINZA ANDORINHA,COM 3CM DE ESPESSURA,COM ABERTURA PARA 1 CUBA(EXCLUSIVE ESTA),SOBRE APOIOS DE ALVENARIA DE MEIA VEZ E VERGA DE CONCRETO,SEM REVESTIMENTO.FORNECIMENTO E COLOCACAO</t>
    </r>
    <r>
      <rPr>
        <b/>
        <sz val="11"/>
        <rFont val="Arial"/>
        <family val="2"/>
      </rPr>
      <t xml:space="preserve"> (EXPURGO, VACINA,  COPA E CONSULTÓRIO ODONTOLOGIA)</t>
    </r>
  </si>
  <si>
    <r>
      <t xml:space="preserve">CUBA DE ACO INOXIDAVEL DE 500X400X200MM,EM CHAPA 20.304,VALVULA DE ESCOAMENTO TIPO AMERICANA 1623,SIFAO 1680 1.1/2"X1.1/ 2",EXCLUSIVE TORNEIRA.FORNECIMENTO E COLOCACAO </t>
    </r>
    <r>
      <rPr>
        <b/>
        <sz val="11"/>
        <rFont val="Arial"/>
        <family val="2"/>
      </rPr>
      <t>( EXPURGO, VACINA,  COPA E CONSULTÓRIO ODONTOLOGIA)</t>
    </r>
  </si>
  <si>
    <t>13.330.0100-A</t>
  </si>
  <si>
    <t>RODAPE COM LADRILHO CERAMICO,COM 7,5 A 10CM DE ALTURA,ASSENTE CONFORME ITEM 13.025.0016 (OBS.:3%-DESGASTE DE FERRAMENTAS E EPI).</t>
  </si>
  <si>
    <t>11201</t>
  </si>
  <si>
    <t>LADRILHO CERAMICO COM MEDIDAS EM TORNODE (20X20)CM</t>
  </si>
  <si>
    <t>05.001.0023-A</t>
  </si>
  <si>
    <t>DEMOLICAO MANUAL DE ALVENARIA DE TIJOLOS FURADOS,INCLUSIVE EMPILHAMENTO LATERAL DENTRO DO CANTEIRO DE SERVICO (OBS.:3%- DESGASTE DE FERRAMENTAS E EPI).</t>
  </si>
  <si>
    <t>CAIXA DE PASSAGEM EM ALVENARIA DE TIJOLO MACICO(7X10X20CM),EM PAREDES DE UMA VEZ(0,20M),DE 0,40X0,60X0,60M,UTILIZANDO AR GAMASSA DE CIMENTO E AREIA,NO TRACO 1:4 EM VOLUME,COM FUNDOEM CONCRETO SIMPLES PROVIDO DE CALHA INTERNA,SENDO AS PAREDE S REVESTIDAS INTERNAMENTE COM A MESMA ARGAMASSA,INCLUSIVE TAMPA DE CONCRETO ARMADO,15MPA,COM ESPESSURA DE 10CM (OBS.:3% - DESGASTE DE FERRAMENTAS E EPI).</t>
  </si>
  <si>
    <t>1.5</t>
  </si>
  <si>
    <t>1.6</t>
  </si>
  <si>
    <t>05.001.0033-A</t>
  </si>
  <si>
    <t>DEMOLICAO MANUAL DE CONCRETO ARMADO ESTANDO AS PECAS EM POSICAO ESPECIAL SOBRE O TERRENO OU PLANO HORIZONTAL DE TRABALHO (OBS.:3%-DESGASTE DE FERRAMENTAS E EPI).</t>
  </si>
  <si>
    <t>05.001.0134-A</t>
  </si>
  <si>
    <t>ARRANCAMENTO DE PORTAS,JANELAS E CAIXILHOS DE AR CONDICIONADO OU OUTROS (OBS.:3%-DESGASTE DE FERRAMENTAS E EPI).</t>
  </si>
  <si>
    <t>14.003.0130-A</t>
  </si>
  <si>
    <t>JANELA DE ALUMINIO ANODIZADO AO NATURAL FOSCO,TIPO MAXIM-AR,EM PERFIS SERIE 28,COM 90CM DE ALTURA,EM 4 MODULOS,COM PARTE INFERIOR FIXA,CONFORME PROJETO N§6007/EMOP.FORNECIMENTO E COLOCACAO (OBS.:3%-DESGASTE DE FERRAMENTAS E EPI 45%-ANODIZACAO E ACESSORIOS).</t>
  </si>
  <si>
    <r>
      <t xml:space="preserve">JANELA DE ALUMINIO ANODIZADO AO NATURAL FOSCO,TIPO MAXIM-AR,EM PERFIS SERIE 28,COM 90CM DE ALTURA,EM 4 MODULOS,COM PARTE INFERIOR FIXA,CONFORME PROJETO N§6007/EMOP.FORNECIMENTO E COLOCACAO </t>
    </r>
    <r>
      <rPr>
        <b/>
        <sz val="11"/>
        <color indexed="8"/>
        <rFont val="Arial"/>
        <family val="2"/>
      </rPr>
      <t>(0,90x0,90m)</t>
    </r>
  </si>
  <si>
    <t>14.003.0130-5</t>
  </si>
  <si>
    <t>14.004.0120-A</t>
  </si>
  <si>
    <t>VIDRO TEMPERADO INCOLOR,10MM DE ESPESSURA,PARA PORTAS OU PAINEIS FIXOS,EXCLUSIVE FERRAGENS.FORNECIMENTO E COLOCACAO</t>
  </si>
  <si>
    <t>05518</t>
  </si>
  <si>
    <t>VIDRO TEMPERADO INCOLOR, COLOCADO, COM ESPESSURA DE 10MM</t>
  </si>
  <si>
    <t>14.007.0195-A</t>
  </si>
  <si>
    <t>FERRAGENS PARA PAINEIS FIXOS DE VIDRO TEMPERADO DE 10MM(CONJUNTO COMPLETO),CONSTANDO DE FORNECIMENTO SEM COLOCACAO(ESTA INCLUIDA NO FORNECIMENTO E COLOCACAO DO VIDRO)</t>
  </si>
  <si>
    <t>05535</t>
  </si>
  <si>
    <t>SUPORTE DE CENTRO, PARA TEMPERADO DE 10MM</t>
  </si>
  <si>
    <t>05520</t>
  </si>
  <si>
    <t>SUPORTE SIMPLES CANTO, PARA VIDRO TEMPERADO DE 10MM</t>
  </si>
  <si>
    <t>VIDRO TEMPERADO INCOLOR,10MM DE ESPESSURA,PARA PORTAS OU PAINEIS FIXOS,INCLUSIVE FERRAGENS.FORNECIMENTO E COLOCACAO</t>
  </si>
  <si>
    <t>14.004.0120-A +  14.007.0195-A</t>
  </si>
  <si>
    <t>14.003.0076-A</t>
  </si>
  <si>
    <t>JANELA BASCULANTE DE ALUMINIO ANODIZADO AO NATURAL,COM 2 ORDENS SENDO A INFERIOR FIXA,EM PERFIS SERIE 28.FORNECIMENTO E COLOCACAO (OBS.:3%-DESGASTE DE FERRAMENTAS E EPI 23%-ANODIZACAO E ACESSORIOS).</t>
  </si>
  <si>
    <r>
      <t xml:space="preserve">JANELA BASCULANTE DE ALUMINIO ANODIZADO AO NATURAL,COM 2 ORDENS SENDO A INFERIOR FIXA,EM PERFIS SERIE 28.FORNECIMENTO E COLOCACAO </t>
    </r>
    <r>
      <rPr>
        <b/>
        <sz val="11"/>
        <rFont val="Arial"/>
        <family val="2"/>
      </rPr>
      <t>(1,50x0,50m)</t>
    </r>
  </si>
  <si>
    <t>6.5</t>
  </si>
  <si>
    <t>SI00000087632</t>
  </si>
  <si>
    <t>CONTRAPISO EM ARGAMASSA TRAÇO 1:4 (CIMENTO E AREIA), PREPARO MANUAL, APLICADO EM ÁREAS SECAS SOBRE LAJE, ADERIDO, ESPESSURA 3CM. AF_06/2014</t>
  </si>
  <si>
    <t>0007334</t>
  </si>
  <si>
    <t>ADITIVO ADESIVO LIQUIDO PARA ARGAMASSAS DE REVESTIMENTOS CIMENTICIOS</t>
  </si>
  <si>
    <t>0001379</t>
  </si>
  <si>
    <t>CIMENTO PORTLAND COMPOSTO CP II-32</t>
  </si>
  <si>
    <t>SI00000087373</t>
  </si>
  <si>
    <t>SI00000087373 ARGAMASSA TRAÇO 1:4 (EM VOLUME DE CIMENTO E AREIA MÉDIA ÚMIDA) PARA CONTRAPISO, PREPARO MANUAL. AF_08/2019</t>
  </si>
  <si>
    <t>3.10</t>
  </si>
  <si>
    <t>3.11</t>
  </si>
  <si>
    <t>SI00000096113</t>
  </si>
  <si>
    <t>FORRO EM PLACAS DE GESSO, PARA AMBIENTES COMERCIAIS. AF_05/2017_P</t>
  </si>
  <si>
    <t>0040547</t>
  </si>
  <si>
    <t>PARAFUSO ZINCADO, AUTOBROCANTE, FLANGEADO, 4,2 MM X 19 MM</t>
  </si>
  <si>
    <t>CENTO</t>
  </si>
  <si>
    <t>0020250</t>
  </si>
  <si>
    <t>SISAL EM FIBRA</t>
  </si>
  <si>
    <t>0004812</t>
  </si>
  <si>
    <t>PLACA DE GESSO PARA FORRO, DE  *60 X 60* CM E ESPESSURA DE 12 MM (30 MM NAS BORDAS) SEM COLOCACAO</t>
  </si>
  <si>
    <t>0003315</t>
  </si>
  <si>
    <t>GESSO EM PO PARA REVESTIMENTOS/MOLDURAS/SANCAS</t>
  </si>
  <si>
    <t>0000345</t>
  </si>
  <si>
    <t>ARAME GALVANIZADO 18 BWG, 1,24MM (0,009 KG/M)</t>
  </si>
  <si>
    <t>SI00000088269</t>
  </si>
  <si>
    <t>GESSEIRO COM ENCARGOS COMPLEMENTARES</t>
  </si>
  <si>
    <t>4.34</t>
  </si>
  <si>
    <t>18.082.0021-A</t>
  </si>
  <si>
    <t>BANCA SECA DE GRANITO CINZA ANDORINHA,COM 3CM DE ESPESSURA E 60CM DE LARGURA,SOBRE APOIOS DE ALVENARIA DE MEIA VEZ E VER GA DE CONCRETO,SEM REVESTIMENTO.FORNECIMENTO E COLOCACAO (OBS.:3%-DESGASTE DE FERRAMENTAS E EPI).</t>
  </si>
  <si>
    <t>13358</t>
  </si>
  <si>
    <t>BANCA SECA DE GRANITO CINZA ANDORINHA, COM 3CM DE ESPESSURA E 60CM DE LARGURA</t>
  </si>
  <si>
    <t>BANCA SECA DE GRANITO CINZA ANDORINHA,COM 3CM DE ESPESSURA E 60CM DE LARGURA,SOBRE APOIOS DE ALVENARIA DE MEIA VEZ E VER GA DE CONCRETO,SEM REVESTIMENTO.FORNECIMENTO E COLOCACAO</t>
  </si>
  <si>
    <t>18.016.0030-6</t>
  </si>
  <si>
    <t>18.016.0030-A</t>
  </si>
  <si>
    <t>BANCA DE ACO INOXIDAVEL DE 2,00X0,55M,EM CHAPA 18.304,COM UMA CUBA DE 500X400X200MM EM CHAPA 20.304,VALVULA DE ESCOAMENT O TIPO AMERICANA 1623,SIFAO 1680 1.1/2"X1.1/2",SOBRE APOIOSDE ALVENARIA DE MEIA VEZ E VERGA DE CONCRETO,SEM REVESTIMENT O,EXCLUSIVE TORNEIRA.FORNECIMENTO E COLOCACAO (OBS.:3%-DESGASTE DE FERRAMENTAS E EPI).</t>
  </si>
  <si>
    <t>MERCADO</t>
  </si>
  <si>
    <t>fornecedor</t>
  </si>
  <si>
    <t>RW INOX LTDA ME</t>
  </si>
  <si>
    <t>METALPER INOXIDÁVEIS</t>
  </si>
  <si>
    <t>CONSTRINOX</t>
  </si>
  <si>
    <t>preço mediano=</t>
  </si>
  <si>
    <t>1.7</t>
  </si>
  <si>
    <t>05.001.0145-A</t>
  </si>
  <si>
    <t>ARRANCAMENTO DE APARELHOS SANITARIOS (OBS.:3%-DESGASTE DE FERRAMENTAS E EPI).</t>
  </si>
  <si>
    <t>1.8</t>
  </si>
  <si>
    <t>05.001.0146-A</t>
  </si>
  <si>
    <t>ARRANCAMENTO DE BANCADA DE PIA/LAVATORIO OU BANCA SECA DE ATE 1,00M DE ALTURA E ATE 0,80M DE LARGURA (OBS.:3%-DESGASTE DE FERRAMENTAS E EPI).</t>
  </si>
  <si>
    <t>ARRANCAMENTO DE APARELHOS SANITARIOS.</t>
  </si>
  <si>
    <t>ARRANCAMENTO DE BANCADA DE PIA/LAVATORIO OU BANCA SECA DE ATE 1,00M DE ALTURA E ATE 0,80M DE LARGURA.</t>
  </si>
  <si>
    <t>1.9</t>
  </si>
  <si>
    <t>05.001.0144-A</t>
  </si>
  <si>
    <t>ARRANCAMENTO DE APARELHOS DE ILUMINACAO, INCLUSIVE LAMPADAS (OBS.:3%-DESGASTE DE FERRAMENTAS E EPI).</t>
  </si>
  <si>
    <t>Banca de aço inox (1,60 x 0,60m) com cuba aço inox (50x40x30cm), pés e prateleira inferior também em aço inox, sifão</t>
  </si>
  <si>
    <t>BANCA EM AÇO INOX AISI 304 COM CUBA CENTRAL MEDINDO 50X40X30 PRATELEIRA GRADEADA INFERIOR</t>
  </si>
  <si>
    <t>COBERTURA E IMPERMEABILIZAÇÃO</t>
  </si>
  <si>
    <t>16.023.0004-A</t>
  </si>
  <si>
    <t>IMPERMEABILIZACAO AREA EXPOSTA,C/EMULSAO ACRILICA PURA (NAO ESTIRENADA),C/TEOR DE SOLIDOS ACIMA 60% APLICADOS EM QUATRO OU MAIS DEMAOS ATE ATINGIR O CONSUMO 2KG/M2 E REFORCO C/TELADE POLIESTER MALHA 2X2MM,SOBRE DUAS OU DEMAIS DEMAOS DE CIM ENTO POLIMERICO,ATE ATINGIR CONSUMO 2,0KG/M2 (OBS.:3%-DESGASTE DE FERRAMENTAS E EPI).</t>
  </si>
  <si>
    <t>14319</t>
  </si>
  <si>
    <t>CIMENTO POLIMERICO</t>
  </si>
  <si>
    <t>05973</t>
  </si>
  <si>
    <t>EMULSAO ACRILICA PURA</t>
  </si>
  <si>
    <t>00988</t>
  </si>
  <si>
    <t>TELA DE POLIESTER</t>
  </si>
  <si>
    <t>20083</t>
  </si>
  <si>
    <t>MAO-DE-OBRA DE IMPERMEABILIZADOR, INCLUSIVE ENCARGOS SOCIAIS DESONERADOS</t>
  </si>
  <si>
    <t>04.006.0014-B</t>
  </si>
  <si>
    <t>CARGA E DESCARGA MANUAL DE MATERIAL QUE EXIJA O CONCURSO DE MAIS DE UM SERVENTE PARA CADA PECA:VERGALHOES,VIGAS DE MADEI RA,CAIXAS E MEIOS-FIOS,EM CAMINHAO DE CARROCERIA FIXA A OLEODIESEL,COM CAPACIDADE UTIL DE 7,5T,INCLUSIVE O TEMPO DE CAR GA,DESCARGA E MANOBRA (OBS.:3%-DESGASTE DE FERRAMENTAS E EPI).</t>
  </si>
  <si>
    <t>T</t>
  </si>
  <si>
    <t>30416</t>
  </si>
  <si>
    <t>19.004.0004-E CAMINHAO CARROC. FIXA 7,5T (CI)</t>
  </si>
  <si>
    <t>30414</t>
  </si>
  <si>
    <t>19.004.0004-C CAMINHAO CARROC. FIXA, 7,5T (CP)</t>
  </si>
  <si>
    <t>SI00000072840</t>
  </si>
  <si>
    <t>TRANSPORTE COMERCIAL COM CAMINHAO CARROCERIA 9 T, RODOVIA PAVIMENTADA</t>
  </si>
  <si>
    <t>TXKM</t>
  </si>
  <si>
    <t>SI00000005824</t>
  </si>
  <si>
    <t>SI00000005824 CAMINHÃO TOCO, PBT 16.000 KG, CARGA ÚTIL MÁX. 10.685 KG, DIST. ENTRE EIXOS 4,8 M, POTÊNCIA 189 CV, INCLUSIVE CARROCERIA FIXA ABERTA DE MADEIRA P/ TRANSPORTE GERAL DE CARGA SECA, DIMEN. APROX. 2,5 X 7,00 X 0,50 M - CHP DIURNO. AF_06/2014</t>
  </si>
  <si>
    <t>1.10</t>
  </si>
  <si>
    <t>05.001.0018-A</t>
  </si>
  <si>
    <t>DEMOLICAO MANUAL DE PISO CIMENTADO E DA RESPECTIVA BASE DE CONCRETO,OU PASSEIO DE CONCRETO,INCLUSIVE EMPILHAMENTO LATERA L DENTRO DO CANTEIRO DE SERVICO (OBS.:3%-DESGASTE DE FERRAMENTAS E EPI).</t>
  </si>
  <si>
    <t>3.12</t>
  </si>
  <si>
    <t>SI00000094994</t>
  </si>
  <si>
    <t>EXECUÇÃO DE PASSEIO (CALÇADA) OU PISO DE CONCRETO COM CONCRETO MOLDADO IN LOCO, FEITO EM OBRA, ACABAMENTO CONVENCIONAL, ESPESSURA 8 CM, ARMADO. AF_07/2016</t>
  </si>
  <si>
    <t>0007156</t>
  </si>
  <si>
    <t>TELA DE ACO SOLDADA NERVURADA, CA-60, Q-196, (3,11 KG/M2), DIAMETRO DO FIO = 5,0 MM, LARGURA =  2,45 M, ESPACAMENTO DA MALHA = 10 X 10 CM</t>
  </si>
  <si>
    <t>0004517</t>
  </si>
  <si>
    <t>SARRAFO DE MADEIRA NAO APARELHADA *2,5 X 7,5* CM (1 X 3 ") PINUS, MISTA OU EQUIVALENTE DA REGIAO</t>
  </si>
  <si>
    <t>0004460</t>
  </si>
  <si>
    <t>SARRAFO DE MADEIRA NAO APARELHADA *2,5 X 10 CM, MACARANDUBA, ANGELIM OU EQUIVALENTE DA REGIAO</t>
  </si>
  <si>
    <t>0003777</t>
  </si>
  <si>
    <t>LONA PLASTICA PRETA, E= 150 MICRA</t>
  </si>
  <si>
    <t>SI00000094964</t>
  </si>
  <si>
    <t>SI00000094964 CONCRETO FCK = 20MPA, TRAÇO 1:2,7:3 (CIMENTO/ AREIA MÉDIA/ BRITA 1)  - PREPARO MECÂNICO COM BETONEIRA 400 L. AF_07/2016</t>
  </si>
  <si>
    <t>18.021.0035-A + 15.028.0010-A</t>
  </si>
  <si>
    <t>15.029.0012-A</t>
  </si>
  <si>
    <t>REGISTRO DE GAVETA,EM BRONZE,COM DIAMETRO DE 1".FORNECIMENTO E COLOCACAO (OBS.:3%-DESGASTE DE FERRAMENTAS E EPI).</t>
  </si>
  <si>
    <t>00703</t>
  </si>
  <si>
    <t>REGISTRO DE GAVETA DE BRONZE, DE 1¦ QUALIDADE COM ROSCA DE AMBOS OS LADOS, DE 1"</t>
  </si>
  <si>
    <t>4.35</t>
  </si>
  <si>
    <t>15.036.0074-A</t>
  </si>
  <si>
    <t>ELETRODUTO DE PVC RIGIDO ROSQUEAVEL DE 2",INCLUSIVE CONEXOES E EMENDAS,EXCLUSIVE ABERTURA E FECHAMENTO DE RASGO.FORNECIM ENTO E ASSENTAMENTO (OBS.:3%-DESGASTE DE FERRAMENTAS E EPI 10%-CONEXOES E EMENDAS).</t>
  </si>
  <si>
    <t>02346</t>
  </si>
  <si>
    <t>ELETRODUTO DE PVC PRETO,RIGIDO ROSQUEAVEL EM AMBAS EXTREMIDADES,EM BARRAS DE 3 METROS,DE 2"</t>
  </si>
  <si>
    <t>15.015.0020-A</t>
  </si>
  <si>
    <t>INSTALACAO DE PONTO DE LUZ,EMBUTIDO NA LAJE,EQUIVALENTE A 2 VARAS DE ELETRODUTO DE PVC RIGIDO DE 3/4",12,00M DE FIO 2,5M M2,CAIXAS,CONEXOES,LUVAS,CURVA E INTERRUPTOR DE EMBUTIR COMPLACA FOSFORESCENTE,INCLUSIVE ABERTURA E FECHAMENTO DE RASGO EM ALVENARIA (OBS.:3%-DESGASTE DE FERRAMENTAS E EPI).</t>
  </si>
  <si>
    <t>15.015.0035-A</t>
  </si>
  <si>
    <t>INSTALACAO DE UM CONJUNTO DE 2 PONTOS DE LUZ,EMBUTIDO NA LAJE,EQUIVALENTE A 5 VARAS DE ELETRODUTO DE PVC RIGIDO DE 3/4", 33,00M DE FIO 2,5MM2,CAIXAS,CONEXOES,LUVAS,CURVA E INTERRUPTOR DE EMBUTIR COM PLACA FOSFORESCENTE,INCLUSIVE ABERTURA E F ECHAMENTO DE RASGO EM ALVENARIA (OBS.:3%-DESGASTE DE FERRAMENTAS E EPI).</t>
  </si>
  <si>
    <t>15.015.0050-A</t>
  </si>
  <si>
    <t>INSTALACAO DE UM CONJUNTO DE 3 PONTOS DE LUZ,EMBUTIDO NA LAJE,EQUIVALENTE A 6 VARAS DE ELETRODUTO DE PVC RIGIDO DE 3/4", 50,00M DE FIO 2,5MM2,CAIXAS,CONEXOES,LUVAS,CURVA E INTERRUPTOR DE EMBUTIR COM PLACA FOSFORESCENTE,INCLUSIVE ABERTURA E F ECHAMENTO DE RASGO EM ALVENARIA (OBS.:3%-DESGASTE DE FERRAMENTAS E EPI).</t>
  </si>
  <si>
    <t>15.015.0065-A</t>
  </si>
  <si>
    <t>INSTALACAO DE UM CONJUNTO DE 4 PONTOS DE LUZ,EMBUTIDO NA LAJE,EQUIVALENTE A 7 VARAS DE ELETRODUTO DE PVC RIGIDO DE 3/4", 50,00M DE FIO 2,5MM2,CAIXAS,CONEXOES,LUVAS,CURVA E INTERRUPTOR DE EMBUTIR COM PLACA FOSFORESCENTE,INCLUSIVE ABERTURA E F ECHAMENTO DE RASGO EM ALVENARIA (OBS.:3%-DESGASTE DE FERRAMENTAS E EPI).</t>
  </si>
  <si>
    <t>02368</t>
  </si>
  <si>
    <t>INTERRUPTOR DE EMBUTIR, FOSFORESCENTE, COM PLACA, DE 2 TECLAS PARALELAS</t>
  </si>
  <si>
    <t>15.015.0270-A</t>
  </si>
  <si>
    <t>INSTALACAO DE UM CONJUNTO DE 2 TOMADAS,EMBUTIDO NA ALVENARIA,EQUIVALENTE A 3 VARAS DE ELETRODUTO DE PVC RIGIDO DE 3/4",2 7,00M DE FIO 2,5MM2,CAIXAS,CONEXOES E TOMADAS DE EMBUTIR 2P+T,10A,COM PLACA FOSFORESCENTE,INCLUSIVE ABERTURA E FECHAMENT O DE RASGO EM ALVENARIA (OBS.:3%-DESGASTE DE FERRAMENTAS E EPI).</t>
  </si>
  <si>
    <t>15.015.0290-A</t>
  </si>
  <si>
    <t>INSTALACAO DE UM CONJUNTO DE 3 TOMADAS,EMBUTIDO NA ALVENARIA,EQUIVALENTE A 4 VARAS DE ELETRODUTO DE PVC RIGIDO DE 3/4",3 7,00M DE FIO 2,5MM2,CAIXAS,CONEXOES E TOMADAS DE EMBUTIR 2P+T,10A,COM PLACA FOSFORESCENTE,INCLUSIVE ABERTURA E FECHAMENT O DE RASGO EM ALVENARIA (OBS.:3%-DESGASTE DE FERRAMENTAS E EPI).</t>
  </si>
  <si>
    <t>15.015.0310-A</t>
  </si>
  <si>
    <t>INSTALACAO DE UM CONJUNTO DE 4 TOMADAS,EMBUTIDO NA ALVENARIA,EQUIVALENTE A 5 VARAS DE ELETRODUTO DE PVC RIGIDO DE 3/4",4 5,00M DE FIO 2,5MM2,CAIXAS,CONEXOES E TOMADAS DE EMBUTIR 2P+T,10A,COM PLACA FOSFORESCENTE,INCLUSIVE ABERTURA E FECHAMENT O DE RASGO EM ALVENARIA (OBS.:3%-DESGASTE DE FERRAMENTAS E EPI).</t>
  </si>
  <si>
    <t>15.004.0046-A</t>
  </si>
  <si>
    <t>INSTALACAO E ASSENTAMENTO DE CHUVEIRO ELETRICO (EXCLUSIVE FORNECIMENTO DO APARELHO E REGISTRO),COMPREENDENDO 5,00M DE TU BO DE PVC DE 25MM,RALO SECO DE PVC DE 100MM COM GRELHA,2,00MDE TUBO DE PVC DE 40MM,30,00M DE FIO 4MM 2,6,00M DE ELETROD UTO DE PVC DIAMETRO DE 3/4" E CONEXOES (OBS.:3%-DESGASTE DE FERRAMENTAS E EPI).</t>
  </si>
  <si>
    <t>18.007.0049-A</t>
  </si>
  <si>
    <t>CHUVEIRO ELETRICO,EM PLASTICO,DE 110/220V.FORNECIMENTO</t>
  </si>
  <si>
    <t>05402</t>
  </si>
  <si>
    <t>CHUVEIRO ELETRICO, SENDO O CHUVEIRO EM PLASTICO, DE 110/220V</t>
  </si>
  <si>
    <t>05038</t>
  </si>
  <si>
    <t>TE 90§ DE PVC RIGIDO SOLDAVEL, DE REDUCAO, DE (032X025)MM</t>
  </si>
  <si>
    <t>00284</t>
  </si>
  <si>
    <t>FIO C/ISOLAMENTO TERMOPLASTICO ANTICHAMADE 750V, DE 04,0MM2</t>
  </si>
  <si>
    <t>05726</t>
  </si>
  <si>
    <t>ADAPTADOR DE PVC, SOLDAVEL CURTO, COM BOLSA E ROSCA PARA REGISTRO, DE 025MMX3/4"</t>
  </si>
  <si>
    <t>05735</t>
  </si>
  <si>
    <t>LUVA DE PVC RIGIDO SOLDAVEL, DE REDUCAODE 25MMX3/4"</t>
  </si>
  <si>
    <t>05795</t>
  </si>
  <si>
    <t>CURVA 90§ DE PVC CURTA PARA ESGOTO, DE 040MM</t>
  </si>
  <si>
    <t>07891</t>
  </si>
  <si>
    <t>RALO SECO QUADRADO DE PVC, DE (100X53X40)MM, COM GRELHA EM PVC</t>
  </si>
  <si>
    <t>INSTALACAO E ASSENTAMENTO DE CHUVEIRO ELETRICO (inCLUSIVE FORNECIMENTO CHUVEIRO ELETRICO,EM PLASTICO,DE 110/220V.E REGISTRO),COMPREENDENDO 5,00M DE TU BO DE PVC DE 25MM,RALO SECO DE PVC DE 100MM COM GRELHA,2,00MDE TUBO DE PVC DE 40MM,30,00M DE FIO 4MM 2,6,00M DE ELETROD UTO DE PVC DIAMETRO DE 3/4" E CONEXOES (OBS.:3%-DESGASTE DE FERRAMENTAS E EPI).</t>
  </si>
  <si>
    <t>15.004.0046-A 18.007.0049-A</t>
  </si>
  <si>
    <t>b</t>
  </si>
  <si>
    <t>15.015.0171-A</t>
  </si>
  <si>
    <t>INSTALACAO DE PONTO DE FORCA ATE 2CV,EQUIVALENTE A 2 VARAS DE ELETRODUTO DE PVC RIGIDO DE 1/2",20,00M DE FIO 2,5MM2,CAIX AS E CONEXOES (OBS.:3%-DESGASTE DE FERRAMENTAS E EPI).</t>
  </si>
  <si>
    <t>15.015.0171-5</t>
  </si>
  <si>
    <t>INSTALACAO DE PONTO DE FORCA ATE 2CV,EQUIVALENTE A 2 VARAS DE ELETRODUTO DE PVC RIGIDO DE 3/4",20,00M DE FIO 2,5MM2,CAIX AS E CONEXOES (OBS.:3%-DESGASTE DE FERRAMENTAS E EPI).</t>
  </si>
  <si>
    <t>18.027.0476-A</t>
  </si>
  <si>
    <t>LUMINARIA DE SOBREPOR, FIXADA EM LAJE OU FORRO, TIPO CALHA, CHANFRADA OU PRISMATICA, COMPLETA, COM LAMPADA LED TUBULAR DE 2 X 18W. FORNECIMENTO E COLOCACAO (OBS.:3%-DESGASTE DE FERRAMENTAS E EPI).</t>
  </si>
  <si>
    <t>14679</t>
  </si>
  <si>
    <t>CALHA CHANFRADA EM CHAPA DE ACO PARA LUMINARIA DE SOBREPOR, PARA 2 LAMPADAS TUBULARES DE 1200MM</t>
  </si>
  <si>
    <t>14190</t>
  </si>
  <si>
    <t>LAMPADA LED, TUBULAR,18W, 100/240V</t>
  </si>
  <si>
    <t>18.027.0450-A</t>
  </si>
  <si>
    <t>ARANDELA TIPO "MEIA-LUA",VIDRO ACETINADO,COR BRANCA,EXCLUSIVE LAMPADA.FORNECIMENTO E COLOCACAO (OBS.:3%-DESGASTE DE FERRAMENTAS E EPI).</t>
  </si>
  <si>
    <t>13246</t>
  </si>
  <si>
    <t>ARANDELA TIPO "MEIA-LUA", VIDRO ACETINADO, COR BRANCA, EXCLUSIVE LAMPADA</t>
  </si>
  <si>
    <t>14189</t>
  </si>
  <si>
    <t>LAMPADA LED, TUBULAR, 9W, 100/240V</t>
  </si>
  <si>
    <t>ARANDELA TIPO "MEIA-LUA",VIDRO ACETINADO,COR BRANCA,INCLUSIVE LAMPADA LED, 9W.FORNECIMENTO E COLOCACAO (OBS.:3%-DESGASTE DE FERRAMENTAS E EPI).</t>
  </si>
  <si>
    <t>SI00000088247</t>
  </si>
  <si>
    <t>AUXILIAR DE ELETRICISTA COM ENCARGOS COMPLEMENTARES</t>
  </si>
  <si>
    <t>18.027.0450-5</t>
  </si>
  <si>
    <t>SI00000083463</t>
  </si>
  <si>
    <t>QUADRO DE DISTRIBUICAO DE ENERGIA EM CHAPA DE ACO GALVANIZADO, PARA 12 DISJUNTORES TERMOMAGNETICOS MONOPOLARES, COM BARRAMENTO TRIFASICO E NEUTRO - FORNECIMENTO E INSTALACAO</t>
  </si>
  <si>
    <t>0013393</t>
  </si>
  <si>
    <t>QUADRO DE DISTRIBUICAO COM BARRAMENTO TRIFASICO, DE EMBUTIR, EM CHAPA DE ACO GALVANIZADO, PARA 12 DISJUNTORES DIN, 100 A</t>
  </si>
  <si>
    <t>SI00000088264</t>
  </si>
  <si>
    <t>ELETRICISTA COM ENCARGOS COMPLEMENTARES</t>
  </si>
  <si>
    <t>5.24</t>
  </si>
  <si>
    <t>5.25</t>
  </si>
  <si>
    <t>5.26</t>
  </si>
  <si>
    <r>
      <t>DEMOLICAO MANUAL DE PISO CIMENTADO E DA RESPECTIVA BASE DE CONCRETO,OU PASSEIO DE CONCRETO,INCLUSIVE EMPILHAMENTO LATERA L DENTRO DO CANTEIRO DE SERVICO</t>
    </r>
    <r>
      <rPr>
        <b/>
        <sz val="11"/>
        <rFont val="Arial"/>
        <family val="2"/>
      </rPr>
      <t xml:space="preserve"> (PISO EXTERNO)</t>
    </r>
  </si>
  <si>
    <t>18.082.0021-5</t>
  </si>
  <si>
    <t xml:space="preserve">Estado do Rio de Janeiro                                                        </t>
  </si>
  <si>
    <t>Prefeitura Municipal de Barra Mansa</t>
  </si>
  <si>
    <t xml:space="preserve">Secretaria Municipal de Planejamento Urbano </t>
  </si>
  <si>
    <t>PROJETO: Arqtª. Mariana Teixeira</t>
  </si>
  <si>
    <t>Data-Base:   EMOP -  RJ / SINAPI e SCO-RJ- Desonerado - Base SET-19</t>
  </si>
  <si>
    <t>LEVANTAMENTO: Arqtª. Mariana Teixeira</t>
  </si>
  <si>
    <t>ENCARGOS SOCIAIS DESONERADOS: 90,79%(HORA)   51,52%(MÊS)</t>
  </si>
  <si>
    <t>ORÇAMENTO: Engº Alfredo A. N M Cunha</t>
  </si>
  <si>
    <t>APROVAÇÃO: Eng. Eros dos Santos</t>
  </si>
  <si>
    <t>MEMÓRIA DE CÁLCULO  - BDI 28,82%</t>
  </si>
  <si>
    <t>CODIGO EMOP/ SINAPI</t>
  </si>
  <si>
    <r>
      <t>Secretaria Municipal de Planejamento Urbano</t>
    </r>
    <r>
      <rPr>
        <sz val="16"/>
        <color indexed="8"/>
        <rFont val="Arial"/>
        <family val="2"/>
      </rPr>
      <t xml:space="preserve"> </t>
    </r>
  </si>
  <si>
    <t>Orçamentista: Eng. Alfredo Antonio Nicolau M. Cunha</t>
  </si>
  <si>
    <t>Data-Base:   EMOP -  RJ / SINAPI e SCO-RJ-Desonerado - Base Set-19</t>
  </si>
  <si>
    <t xml:space="preserve">CRONOGRAMA  FÍSICO-FINANCEIRO </t>
  </si>
  <si>
    <t>120 DIAS</t>
  </si>
  <si>
    <t>COBERTURA e IMPERMEABILIZAÇÃO</t>
  </si>
  <si>
    <t>Serviço :  Reforma da PSF Braulino de Brito</t>
  </si>
  <si>
    <t>Local: Avenida Waldomiro Peres Gonçalves, s/nº - Bairro: Mangueira - Barra Mansa - RJ</t>
  </si>
  <si>
    <t>Local: Local: Avenida Waldomiro Peres Gonçalves, s/nº - Bairro: Mangueira - Barra Mansa - RJ</t>
  </si>
  <si>
    <t>ORÇAMENTO Nº 005-2020</t>
  </si>
  <si>
    <t>DATA: 17-04-2020</t>
  </si>
  <si>
    <t>11.031.0050-A</t>
  </si>
  <si>
    <t>PRE-LAJE COM PAINEL TRELICADO,MACICA,PARA VAO DE 4,10 A 5,20M,CAPEAMENTO DE 9CM DE ESPESSURA,FCK=25MPA,SOBRECARGA DE 2,5 A 3,5KN/M2,INCLUSIVE ARMACAO NEGATIVA E POSITIVA ADICIONAL.FORNECIMENTO E ASSENTAMENTO (OBS.:3%-DESGASTE DE FERRAMENTAS E EPI).</t>
  </si>
  <si>
    <t>13499</t>
  </si>
  <si>
    <t>PRE-LAJE, C/TRELICADO, P/VAO DE 4,10 A 5,20M, SOBRECARGA DE 2,5 A 3,5KN/M2</t>
  </si>
  <si>
    <t>07330</t>
  </si>
  <si>
    <t>CONCRETO BOMBEAVEL, UTILIZANDO BRITA 1,DE 25MPA</t>
  </si>
  <si>
    <t>00031</t>
  </si>
  <si>
    <t>ACO CA-25, ESTIRADO, PRECO DE REVENDEDOR, NO DIAMETRO DE 10,0MM</t>
  </si>
  <si>
    <t>00014</t>
  </si>
  <si>
    <t>ACO CA-60, ESTIRADO, PRECO DE REVENDEDOR, NO DIAMETRO DE 05,0MM</t>
  </si>
  <si>
    <t>20015</t>
  </si>
  <si>
    <t>MAO-DE-OBRA DE ARMADOR DE CONCRETO ARMADO, INCLUSIVE ENCARGOS SOCIAIS DESONERADOS</t>
  </si>
  <si>
    <t>02523</t>
  </si>
  <si>
    <t>INSTALACAO AVULSA DE BOMBA DE CONCRETO</t>
  </si>
  <si>
    <t>2.1</t>
  </si>
  <si>
    <t>2.2</t>
  </si>
  <si>
    <t>03.001.0001-B</t>
  </si>
  <si>
    <t>ESCAVACAO MANUAL DE VALA/CAVA EM MATERIAL DE 1¦ CATEGORIA (A(AREIA,ARGILA OU PICARRA),ATE 1,50M DE PROFUNDIDADE,EXCLUSIV E ESCORAMENTO E ESGOTAMENTO (OBS.:3% - DESGASTE DE FERRAMENTAS E EPI).</t>
  </si>
  <si>
    <t>03.013.0002-A</t>
  </si>
  <si>
    <t>REATERRO DE VALA/CAVA COMPACTADA A MACO,EM CAMADAS DE 20CM DE ESPESSURA MAXIMA,COM MATERIAL DE BOA QUALIDADE,EXCLUSIVE ESTE (OBS.:3%-DESGASTE DE FERRAMENTAS E EPI).</t>
  </si>
  <si>
    <t>2.3</t>
  </si>
  <si>
    <t>11.013.0110-A</t>
  </si>
  <si>
    <t>CONCRETO ARMADO,FCK=30MPA,INCLUINDO MATERIAIS PARA 1,00M3 DE CONCRETO(IMPORTADO DE USINA)ADENSADO E COLOCADO,12,00M2 DE AREA MOLDADA,FORMAS E ESCORAMENTO CONFORME ITENS 11.004.0022E 11.004.0035,80KG DE ACO CA-50,INCLUSIVE MAO-DE-OBRA PARA CORTE,DOBRAGEM,MONTAGEM E COLOCACAO NAS FORMAS (OBS.:3%-DESGASTE DE FERRAMENTAS E EPI).</t>
  </si>
  <si>
    <t>05845</t>
  </si>
  <si>
    <t>ACO CA-50, ESTIRADO, PRECO DE REVENDEDOR, NO DIAMETRO DE 08,0MM</t>
  </si>
  <si>
    <t>00021</t>
  </si>
  <si>
    <t>ACO CA-50, ESTIRADO, PRECO DE REVENDEDOR, NO DIAMETRO, DE 25,0MM</t>
  </si>
  <si>
    <t>00019</t>
  </si>
  <si>
    <t>ACO CA-50, ESTIRADO, PRECO DE REVENDEDOR, NO DIAMETRO DE 16,0MM</t>
  </si>
  <si>
    <t>00018</t>
  </si>
  <si>
    <t>ACO CA-50, ESTIRADO, PRECO DE REVENDEDOR, NO DIAMETRO DE 12,5MM</t>
  </si>
  <si>
    <t>00017</t>
  </si>
  <si>
    <t>ACO CA-50, ESTIRADO, PRECO DE REVENDEDOR, NO DIAMETRO DE 10,0MM</t>
  </si>
  <si>
    <t>00004</t>
  </si>
  <si>
    <t>ARAME RECOZIDO N§ 18</t>
  </si>
  <si>
    <t>30885</t>
  </si>
  <si>
    <t>54.001.0100-B FORMAS MADEIRA P/MOLDAGEM, INCL. ESCOR.</t>
  </si>
  <si>
    <t>30249</t>
  </si>
  <si>
    <t>11.001.0008-B CONCRETO FCK 30MPA</t>
  </si>
  <si>
    <t>11.003.0006-A</t>
  </si>
  <si>
    <t>CONCRETO DOSADO RACIONALMENTE PARA UMA RESISTENCIA CARACTERISTICA A COMPRESSAO DE 30MPA,INCLUSIVE MATERIAIS,TRANSPORTE,P REPARO COM BETONEIRA,LANCAMENTO E ADENSAMENTO</t>
  </si>
  <si>
    <t>30260</t>
  </si>
  <si>
    <t>11.002.0023-B LANCAMENTO CONC.C/ARM.2,0M3/H,HORIZ/VERT</t>
  </si>
  <si>
    <t>30254</t>
  </si>
  <si>
    <t>11.002.0013-B PREPARO CONCR. BETON. 320L; 2,0M3/H</t>
  </si>
  <si>
    <t>11.003.0006-A CONCRETO FCK 30MPA</t>
  </si>
  <si>
    <t>11.013.0110-6</t>
  </si>
  <si>
    <t>2.4</t>
  </si>
  <si>
    <r>
      <t xml:space="preserve">TRANSPORTE COMERCIAL COM CAMINHAO CARROCERIA 9 T, RODOVIA PAVIMENTADA . </t>
    </r>
    <r>
      <rPr>
        <b/>
        <sz val="11"/>
        <rFont val="Arial"/>
        <family val="2"/>
      </rPr>
      <t>DMT= 12,5KM - PARQUE DA CIDADE</t>
    </r>
  </si>
  <si>
    <t>8.1</t>
  </si>
  <si>
    <t>8.2</t>
  </si>
  <si>
    <t>8.3</t>
  </si>
  <si>
    <t>8.4</t>
  </si>
  <si>
    <t>SUBTOTAL 9.0</t>
  </si>
  <si>
    <t>1.11</t>
  </si>
  <si>
    <t>05.001.0041-A</t>
  </si>
  <si>
    <t>REMOCAO DE COBERTURA EM TELHAS DE FIBROCIMENTO CONVENCIONAL,ONDULADA,INCLUSIVE MADEIRAMENTO,MEDIDO O CONJUNTO PELA AREA REAL DE COBERTURA (OBS.:3%-DESGASTE DE FERRAMENTAS E EPI).</t>
  </si>
  <si>
    <r>
      <t>CONCRETO ARMADO,FCK=30MPA,INCLUINDO MATERIAIS PARA 1,00M3 DE CONCRETO DOSADO RACIONALMENTE PARA UMA RESISTENCIA CARACTERISTICA A COMPRESSAO DE 30MPA,INCLUSIVE MATERIAIS,TRANSPORTE,P REPARO COM BETONEIRA,LANCAMENTO E ADENSAMENTO</t>
    </r>
    <r>
      <rPr>
        <b/>
        <sz val="11"/>
        <rFont val="Arial"/>
        <family val="2"/>
      </rPr>
      <t>,7,24M2</t>
    </r>
    <r>
      <rPr>
        <sz val="11"/>
        <rFont val="Arial"/>
        <family val="2"/>
      </rPr>
      <t xml:space="preserve"> DE AREA MOLDADA,FORMAS E ESCORAMENTO CONFORME ITENS 11.004.0022E 11.004.0035,</t>
    </r>
    <r>
      <rPr>
        <b/>
        <sz val="11"/>
        <rFont val="Arial"/>
        <family val="2"/>
      </rPr>
      <t>83KG</t>
    </r>
    <r>
      <rPr>
        <sz val="11"/>
        <rFont val="Arial"/>
        <family val="2"/>
      </rPr>
      <t xml:space="preserve"> DE ACO CA-50,INCLUSIVE MAO-DE-OBRA PARA CORTE,DOBRAGEM,MONTAGEM E COLOCACAO NAS FORMAS.</t>
    </r>
  </si>
  <si>
    <t>PLANILHA ORÇAMENTÁRIA  - BDI 28,82%</t>
  </si>
  <si>
    <r>
      <t>DEMOLICAO MANUAL DE PISO CIMENTADO E DA RESPECTIVA BASE DE CONCRETO,OU PASSEIO DE CONCRETO,INCLUSIVE EMPILHAMENTO LATERA L DENTRO DO CANTEIRO DE SERVICO</t>
    </r>
    <r>
      <rPr>
        <b/>
        <sz val="12"/>
        <rFont val="Arial"/>
        <family val="2"/>
      </rPr>
      <t xml:space="preserve"> (PISO EXTERNO)</t>
    </r>
  </si>
  <si>
    <r>
      <t>CONCRETO ARMADO,FCK=30MPA,INCLUINDO MATERIAIS PARA 1,00M3 DE CONCRETO DOSADO RACIONALMENTE PARA UMA RESISTENCIA CARACTERISTICA A COMPRESSAO DE 30MPA,INCLUSIVE MATERIAIS,TRANSPORTE,P REPARO COM BETONEIRA,LANCAMENTO E ADENSAMENTO</t>
    </r>
    <r>
      <rPr>
        <b/>
        <sz val="12"/>
        <rFont val="Arial"/>
        <family val="2"/>
      </rPr>
      <t>,7,24M2</t>
    </r>
    <r>
      <rPr>
        <sz val="12"/>
        <rFont val="Arial"/>
        <family val="2"/>
      </rPr>
      <t xml:space="preserve"> DE AREA MOLDADA,FORMAS E ESCORAMENTO CONFORME ITENS 11.004.0022E 11.004.0035,</t>
    </r>
    <r>
      <rPr>
        <b/>
        <sz val="12"/>
        <rFont val="Arial"/>
        <family val="2"/>
      </rPr>
      <t>83KG</t>
    </r>
    <r>
      <rPr>
        <sz val="12"/>
        <rFont val="Arial"/>
        <family val="2"/>
      </rPr>
      <t xml:space="preserve"> DE ACO CA-50,INCLUSIVE MAO-DE-OBRA PARA CORTE,DOBRAGEM,MONTAGEM E COLOCACAO NAS FORMAS.</t>
    </r>
  </si>
  <si>
    <r>
      <t>BANCA DE GRANITO CINZA ANDORINHA,COM 3CM DE ESPESSURA,COM ABERTURA PARA 1 CUBA(EXCLUSIVE ESTA),SOBRE APOIOS DE ALVENARIA DE MEIA VEZ E VERGA DE CONCRETO,SEM REVESTIMENTO.FORNECIMENTO E COLOCACAO</t>
    </r>
    <r>
      <rPr>
        <b/>
        <sz val="12"/>
        <rFont val="Arial"/>
        <family val="2"/>
      </rPr>
      <t xml:space="preserve"> (EXPURGO, VACINA,  COPA E CONSULTÓRIO ODONTOLOGIA)</t>
    </r>
  </si>
  <si>
    <r>
      <t xml:space="preserve">CUBA DE ACO INOXIDAVEL DE 500X400X200MM,EM CHAPA 20.304,VALVULA DE ESCOAMENTO TIPO AMERICANA 1623,SIFAO 1680 1.1/2"X1.1/ 2",EXCLUSIVE TORNEIRA.FORNECIMENTO E COLOCACAO </t>
    </r>
    <r>
      <rPr>
        <b/>
        <sz val="12"/>
        <rFont val="Arial"/>
        <family val="2"/>
      </rPr>
      <t>( EXPURGO, VACINA,  COPA E CONSULTÓRIO ODONTOLOGIA)</t>
    </r>
  </si>
  <si>
    <r>
      <t xml:space="preserve">JANELA BASCULANTE DE ALUMINIO ANODIZADO AO NATURAL,COM 2 ORDENS SENDO A INFERIOR FIXA,EM PERFIS SERIE 28.FORNECIMENTO E COLOCACAO </t>
    </r>
    <r>
      <rPr>
        <b/>
        <sz val="12"/>
        <rFont val="Arial"/>
        <family val="2"/>
      </rPr>
      <t>(1,50x0,50m)</t>
    </r>
  </si>
  <si>
    <r>
      <t xml:space="preserve">JANELA DE ALUMINIO ANODIZADO AO NATURAL FOSCO,TIPO MAXIM-AR,EM PERFIS SERIE 28,COM 90CM DE ALTURA,EM 4 MODULOS,COM PARTE INFERIOR FIXA,CONFORME PROJETO N§6007/EMOP.FORNECIMENTO E COLOCACAO </t>
    </r>
    <r>
      <rPr>
        <b/>
        <sz val="12"/>
        <color indexed="8"/>
        <rFont val="Arial"/>
        <family val="2"/>
      </rPr>
      <t>(0,90x0,90m)</t>
    </r>
  </si>
  <si>
    <r>
      <t xml:space="preserve">Janela de alumínio anodizado ao natural de correr, duas folhas de correr e bandeira de 0,50m de altura com painéis basculantes, em perfis série 28. FORNECIMENTO e COLOCAÇÃO </t>
    </r>
    <r>
      <rPr>
        <b/>
        <sz val="12"/>
        <color indexed="8"/>
        <rFont val="Arial"/>
        <family val="2"/>
      </rPr>
      <t>(1,20x1,50m)</t>
    </r>
  </si>
  <si>
    <r>
      <t xml:space="preserve">PINTURA COM TINTA LATEX SEMIBRILHANTE,FOSCA OU ACETINADA,CLASSIFICACAO PREMIUM OU STANDARD (NBR 15079),PARA INTERIOR E E XTERIOR,BRANCA OU COLORIDA,SOBRE TIJOLO,CONCRETO LISO,CIMENTO SEM AMIANTO,E REVESTIMENTO,INCLUSIVE LIXAMENTO,UMA DEMAO D E SELADOR ACRILICO E DUAS DEMAOS DE ACABAMENTO (OBS.:3%-DESGASTE DE FERRAMENTAS E EPI). </t>
    </r>
    <r>
      <rPr>
        <b/>
        <sz val="12"/>
        <rFont val="Arial"/>
        <family val="2"/>
      </rPr>
      <t>(INTERNA)</t>
    </r>
  </si>
  <si>
    <r>
      <t xml:space="preserve">Pintura interna com esmalte sintético alto brilho ou acetinado, acabamento de alta classe sobre superfície preparada conforme o item 17.017.0010 (Preparo de superfícies novas, com revestimento liso, inclusive lixamento, limpeza, uma demão de selador acrílico, uma demão de massa corrida ou acrílica e novo lixamento com remoção do pó residual) inclusive este preparo, inclusive lixamento, duas demãos de massa corrida e três de acabamento </t>
    </r>
    <r>
      <rPr>
        <b/>
        <sz val="12"/>
        <rFont val="Arial"/>
        <family val="2"/>
      </rPr>
      <t>(BARRADO)</t>
    </r>
  </si>
  <si>
    <r>
      <t xml:space="preserve">PINTURA COM TINTA LATEX SEMIBRILHANTE,FOSCA OU ACETINADA,CLASSIFICACAO PREMIUM OU STANDARD (NBR 15079),PARA INTERIOR E E XTERIOR,BRANCA OU COLORIDA,SOBRE TIJOLO,CONCRETO LISO,CIMENTO SEM AMIANTO,E REVESTIMENTO,INCLUSIVE LIXAMENTO,UMA DEMAO D E SELADOR ACRILICO E DUAS DEMAOS DE ACABAMENTO (OBS.:3%-DESGASTE DE FERRAMENTAS E EPI). </t>
    </r>
    <r>
      <rPr>
        <b/>
        <sz val="12"/>
        <rFont val="Arial"/>
        <family val="2"/>
      </rPr>
      <t>(EXTERNA)</t>
    </r>
  </si>
  <si>
    <r>
      <t>PINTURA INTERNA OU EXTERNA COM TINTA IMPERMEAVEL EM CORES PARA APLICACAO SOBRE CONCRETO,TIJOLOS,PEDRAS OU ARGAMASSA DE SUPERFICIE POROSA, EM DUAS DEMAOS, USANDO AGUA COMO DILUENTE</t>
    </r>
    <r>
      <rPr>
        <b/>
        <sz val="12"/>
        <rFont val="Arial"/>
        <family val="2"/>
      </rPr>
      <t xml:space="preserve"> (MURO)</t>
    </r>
  </si>
  <si>
    <r>
      <t xml:space="preserve">TRANSPORTE COMERCIAL COM CAMINHAO CARROCERIA 9 T, RODOVIA PAVIMENTADA . </t>
    </r>
    <r>
      <rPr>
        <b/>
        <sz val="12"/>
        <rFont val="Arial"/>
        <family val="2"/>
      </rPr>
      <t>DMT= 12,5KM - PARQUE DA CIDADE</t>
    </r>
  </si>
</sst>
</file>

<file path=xl/styles.xml><?xml version="1.0" encoding="utf-8"?>
<styleSheet xmlns="http://schemas.openxmlformats.org/spreadsheetml/2006/main">
  <numFmts count="3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_(* #,##0_);_(* \(#,##0\);_(* &quot;-&quot;_);_(@_)"/>
    <numFmt numFmtId="171" formatCode="_(* #,##0.00_);_(* \(#,##0.00\);_(* &quot;-&quot;??_);_(@_)"/>
    <numFmt numFmtId="172" formatCode="_(&quot;R$&quot;* #,##0_);_(&quot;R$&quot;* \(#,##0\);_(&quot;R$&quot;* &quot;-&quot;_);_(@_)"/>
    <numFmt numFmtId="173" formatCode="_(&quot;R$&quot;* #,##0.00_);_(&quot;R$&quot;* \(#,##0.00\);_(&quot;R$&quot;* &quot;-&quot;??_);_(@_)"/>
    <numFmt numFmtId="174" formatCode="_ * #,##0.00_ ;_ * \-#,##0.00_ ;_ * &quot;-&quot;??_ ;_ @_ "/>
    <numFmt numFmtId="175" formatCode="0.00;[Red]0.00"/>
    <numFmt numFmtId="176" formatCode="_([$€]* #,##0.00_);_([$€]* \(#,##0.00\);_([$€]* &quot;-&quot;??_);_(@_)"/>
    <numFmt numFmtId="177" formatCode="#,##0.0"/>
    <numFmt numFmtId="178" formatCode="dd/mm/yy;@"/>
    <numFmt numFmtId="179" formatCode="#,##0.000"/>
    <numFmt numFmtId="180" formatCode="#,##0.0000"/>
    <numFmt numFmtId="181" formatCode="&quot;Sim&quot;;&quot;Sim&quot;;&quot;Não&quot;"/>
    <numFmt numFmtId="182" formatCode="&quot;Verdadeiro&quot;;&quot;Verdadeiro&quot;;&quot;Falso&quot;"/>
    <numFmt numFmtId="183" formatCode="&quot;Ativado&quot;;&quot;Ativado&quot;;&quot;Desativado&quot;"/>
    <numFmt numFmtId="184" formatCode="[$€-2]\ #,##0.00_);[Red]\([$€-2]\ #,##0.00\)"/>
    <numFmt numFmtId="185" formatCode="#,##0.00;[Red]#,##0.00"/>
    <numFmt numFmtId="186" formatCode="&quot;Ativar&quot;;&quot;Ativar&quot;;&quot;Desativar&quot;"/>
    <numFmt numFmtId="187" formatCode="0.0"/>
    <numFmt numFmtId="188" formatCode="_(* #,##0.000_);_(* \(#,##0.000\);_(* &quot;-&quot;??_);_(@_)"/>
    <numFmt numFmtId="189" formatCode="_(* #,##0.0000_);_(* \(#,##0.0000\);_(* &quot;-&quot;??_);_(@_)"/>
    <numFmt numFmtId="190" formatCode="_(* #,##0.00000_);_(* \(#,##0.00000\);_(* &quot;-&quot;??_);_(@_)"/>
    <numFmt numFmtId="191" formatCode="_(* #,##0.0_);_(* \(#,##0.0\);_(* &quot;-&quot;??_);_(@_)"/>
    <numFmt numFmtId="192" formatCode="_(* #,##0_);_(* \(#,##0\);_(* &quot;-&quot;??_);_(@_)"/>
    <numFmt numFmtId="193" formatCode="[$-416]dddd\,\ d&quot; de &quot;mmmm&quot; de &quot;yyyy"/>
    <numFmt numFmtId="194" formatCode="#,##0.00_ ;\-#,##0.00\ "/>
  </numFmts>
  <fonts count="82">
    <font>
      <sz val="10"/>
      <name val="Arial"/>
      <family val="0"/>
    </font>
    <font>
      <u val="single"/>
      <sz val="10"/>
      <color indexed="12"/>
      <name val="Arial"/>
      <family val="2"/>
    </font>
    <font>
      <u val="single"/>
      <sz val="10"/>
      <color indexed="36"/>
      <name val="Arial"/>
      <family val="2"/>
    </font>
    <font>
      <b/>
      <sz val="11"/>
      <color indexed="8"/>
      <name val="Arial"/>
      <family val="2"/>
    </font>
    <font>
      <sz val="10"/>
      <name val="Switzerland"/>
      <family val="0"/>
    </font>
    <font>
      <b/>
      <sz val="14"/>
      <name val="Arial"/>
      <family val="2"/>
    </font>
    <font>
      <b/>
      <sz val="12"/>
      <name val="Arial"/>
      <family val="2"/>
    </font>
    <font>
      <sz val="12"/>
      <name val="Arial"/>
      <family val="2"/>
    </font>
    <font>
      <b/>
      <sz val="12"/>
      <color indexed="8"/>
      <name val="Arial"/>
      <family val="2"/>
    </font>
    <font>
      <sz val="12"/>
      <color indexed="8"/>
      <name val="Arial"/>
      <family val="2"/>
    </font>
    <font>
      <b/>
      <sz val="12"/>
      <name val="Switzerland"/>
      <family val="0"/>
    </font>
    <font>
      <sz val="11"/>
      <name val="Arial"/>
      <family val="2"/>
    </font>
    <font>
      <b/>
      <sz val="11"/>
      <name val="Arial"/>
      <family val="2"/>
    </font>
    <font>
      <sz val="11"/>
      <color indexed="8"/>
      <name val="Arial"/>
      <family val="2"/>
    </font>
    <font>
      <b/>
      <sz val="11"/>
      <color indexed="10"/>
      <name val="Arial"/>
      <family val="2"/>
    </font>
    <font>
      <sz val="11"/>
      <color indexed="10"/>
      <name val="Arial"/>
      <family val="2"/>
    </font>
    <font>
      <sz val="16"/>
      <name val="Arial"/>
      <family val="2"/>
    </font>
    <font>
      <sz val="18"/>
      <name val="Arial"/>
      <family val="2"/>
    </font>
    <font>
      <b/>
      <sz val="16"/>
      <name val="Arial"/>
      <family val="2"/>
    </font>
    <font>
      <b/>
      <sz val="14"/>
      <color indexed="8"/>
      <name val="Arial"/>
      <family val="2"/>
    </font>
    <font>
      <b/>
      <sz val="16"/>
      <color indexed="8"/>
      <name val="Arial"/>
      <family val="2"/>
    </font>
    <font>
      <sz val="14"/>
      <name val="Arial"/>
      <family val="2"/>
    </font>
    <font>
      <sz val="16"/>
      <color indexed="8"/>
      <name val="Arial"/>
      <family val="2"/>
    </font>
    <font>
      <b/>
      <sz val="2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name val="Calibri"/>
      <family val="2"/>
    </font>
    <font>
      <b/>
      <sz val="11"/>
      <name val="Calibri"/>
      <family val="2"/>
    </font>
    <font>
      <b/>
      <sz val="11"/>
      <color indexed="10"/>
      <name val="Calibri"/>
      <family val="2"/>
    </font>
    <font>
      <sz val="14"/>
      <name val="Calibri"/>
      <family val="2"/>
    </font>
    <font>
      <sz val="14"/>
      <color indexed="8"/>
      <name val="Arial"/>
      <family val="2"/>
    </font>
    <font>
      <b/>
      <sz val="18"/>
      <color indexed="8"/>
      <name val="Arial"/>
      <family val="2"/>
    </font>
    <font>
      <sz val="18"/>
      <color indexed="8"/>
      <name val="Arial"/>
      <family val="2"/>
    </font>
    <font>
      <b/>
      <sz val="20"/>
      <color indexed="8"/>
      <name val="Arial"/>
      <family val="2"/>
    </font>
    <font>
      <b/>
      <sz val="12"/>
      <color indexed="10"/>
      <name val="Arial"/>
      <family val="2"/>
    </font>
    <font>
      <sz val="12"/>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FF0000"/>
      <name val="Arial"/>
      <family val="2"/>
    </font>
    <font>
      <sz val="11"/>
      <color rgb="FFFF0000"/>
      <name val="Arial"/>
      <family val="2"/>
    </font>
    <font>
      <sz val="11"/>
      <color theme="1"/>
      <name val="Arial"/>
      <family val="2"/>
    </font>
    <font>
      <b/>
      <sz val="11"/>
      <color theme="1"/>
      <name val="Arial"/>
      <family val="2"/>
    </font>
    <font>
      <b/>
      <sz val="11"/>
      <color rgb="FFFF0000"/>
      <name val="Calibri"/>
      <family val="2"/>
    </font>
    <font>
      <b/>
      <sz val="14"/>
      <color theme="1"/>
      <name val="Arial"/>
      <family val="2"/>
    </font>
    <font>
      <sz val="14"/>
      <color theme="1"/>
      <name val="Arial"/>
      <family val="2"/>
    </font>
    <font>
      <sz val="16"/>
      <color theme="1"/>
      <name val="Arial"/>
      <family val="2"/>
    </font>
    <font>
      <b/>
      <sz val="20"/>
      <color theme="1"/>
      <name val="Arial"/>
      <family val="2"/>
    </font>
    <font>
      <b/>
      <sz val="18"/>
      <color theme="1"/>
      <name val="Arial"/>
      <family val="2"/>
    </font>
    <font>
      <sz val="18"/>
      <color theme="1"/>
      <name val="Arial"/>
      <family val="2"/>
    </font>
    <font>
      <b/>
      <sz val="12"/>
      <color rgb="FFFF0000"/>
      <name val="Arial"/>
      <family val="2"/>
    </font>
    <font>
      <sz val="12"/>
      <color rgb="FFFF0000"/>
      <name val="Arial"/>
      <family val="2"/>
    </font>
    <font>
      <sz val="12"/>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rgb="FF00B0F0"/>
        <bgColor indexed="64"/>
      </patternFill>
    </fill>
    <fill>
      <patternFill patternType="solid">
        <fgColor theme="0" tint="-0.1499900072813034"/>
        <bgColor indexed="64"/>
      </patternFill>
    </fill>
    <fill>
      <patternFill patternType="solid">
        <fgColor rgb="FF92D05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7" fillId="29" borderId="1" applyNumberFormat="0" applyAlignment="0" applyProtection="0"/>
    <xf numFmtId="176"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8" fillId="30" borderId="0" applyNumberFormat="0" applyBorder="0" applyAlignment="0" applyProtection="0"/>
    <xf numFmtId="173"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0" fontId="59" fillId="31" borderId="0" applyNumberFormat="0" applyBorder="0" applyAlignment="0" applyProtection="0"/>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60" fillId="21" borderId="5" applyNumberFormat="0" applyAlignment="0" applyProtection="0"/>
    <xf numFmtId="170" fontId="0" fillId="0" borderId="0" applyFont="0" applyFill="0" applyBorder="0" applyAlignment="0" applyProtection="0"/>
    <xf numFmtId="174" fontId="0"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66" fillId="0" borderId="8" applyNumberFormat="0" applyFill="0" applyAlignment="0" applyProtection="0"/>
    <xf numFmtId="0" fontId="66" fillId="0" borderId="0" applyNumberFormat="0" applyFill="0" applyBorder="0" applyAlignment="0" applyProtection="0"/>
    <xf numFmtId="0" fontId="67" fillId="0" borderId="9" applyNumberFormat="0" applyFill="0" applyAlignment="0" applyProtection="0"/>
    <xf numFmtId="171" fontId="0" fillId="0" borderId="0" applyFont="0" applyFill="0" applyBorder="0" applyAlignment="0" applyProtection="0"/>
    <xf numFmtId="171" fontId="0" fillId="0" borderId="0" applyFont="0" applyFill="0" applyBorder="0" applyAlignment="0" applyProtection="0"/>
  </cellStyleXfs>
  <cellXfs count="580">
    <xf numFmtId="0" fontId="0" fillId="0" borderId="0" xfId="0" applyAlignment="1">
      <alignment/>
    </xf>
    <xf numFmtId="4" fontId="0" fillId="0" borderId="0" xfId="0" applyNumberFormat="1" applyAlignment="1">
      <alignment/>
    </xf>
    <xf numFmtId="0" fontId="7" fillId="0" borderId="0" xfId="0" applyFont="1" applyAlignment="1">
      <alignment/>
    </xf>
    <xf numFmtId="4" fontId="7" fillId="0" borderId="10" xfId="0" applyNumberFormat="1" applyFont="1" applyFill="1" applyBorder="1" applyAlignment="1">
      <alignment horizontal="right"/>
    </xf>
    <xf numFmtId="4" fontId="7" fillId="0" borderId="0" xfId="0" applyNumberFormat="1" applyFont="1" applyAlignment="1">
      <alignment/>
    </xf>
    <xf numFmtId="4" fontId="7" fillId="0" borderId="10" xfId="0" applyNumberFormat="1" applyFont="1" applyFill="1" applyBorder="1" applyAlignment="1">
      <alignment horizontal="right" wrapText="1"/>
    </xf>
    <xf numFmtId="0" fontId="8" fillId="0" borderId="10" xfId="0" applyFont="1" applyFill="1" applyBorder="1" applyAlignment="1">
      <alignment horizontal="center" vertical="center"/>
    </xf>
    <xf numFmtId="0" fontId="6" fillId="0" borderId="10" xfId="0" applyFont="1" applyFill="1" applyBorder="1" applyAlignment="1">
      <alignment horizontal="center"/>
    </xf>
    <xf numFmtId="0" fontId="7" fillId="0" borderId="0" xfId="0" applyFont="1" applyAlignment="1">
      <alignment/>
    </xf>
    <xf numFmtId="0" fontId="6" fillId="0" borderId="11" xfId="0" applyFont="1" applyBorder="1" applyAlignment="1">
      <alignment horizontal="center"/>
    </xf>
    <xf numFmtId="0" fontId="6" fillId="33" borderId="10" xfId="0" applyFont="1" applyFill="1" applyBorder="1" applyAlignment="1">
      <alignment horizontal="center"/>
    </xf>
    <xf numFmtId="4" fontId="9" fillId="0" borderId="10" xfId="0" applyNumberFormat="1" applyFont="1" applyFill="1" applyBorder="1" applyAlignment="1">
      <alignment horizontal="left" vertical="center" wrapText="1"/>
    </xf>
    <xf numFmtId="4" fontId="9" fillId="0" borderId="10" xfId="44" applyNumberFormat="1" applyFont="1" applyFill="1" applyBorder="1" applyAlignment="1">
      <alignment horizontal="right"/>
    </xf>
    <xf numFmtId="10" fontId="7" fillId="0" borderId="10" xfId="0" applyNumberFormat="1" applyFont="1" applyFill="1" applyBorder="1" applyAlignment="1">
      <alignment horizontal="right"/>
    </xf>
    <xf numFmtId="4" fontId="6" fillId="0" borderId="10" xfId="44" applyNumberFormat="1" applyFont="1" applyFill="1" applyBorder="1" applyAlignment="1">
      <alignment horizontal="right"/>
    </xf>
    <xf numFmtId="0" fontId="7" fillId="0" borderId="10" xfId="0" applyFont="1" applyFill="1" applyBorder="1" applyAlignment="1">
      <alignment/>
    </xf>
    <xf numFmtId="0" fontId="7" fillId="0" borderId="10" xfId="0" applyFont="1" applyFill="1" applyBorder="1" applyAlignment="1">
      <alignment horizontal="left"/>
    </xf>
    <xf numFmtId="0" fontId="6" fillId="33" borderId="12" xfId="0" applyFont="1" applyFill="1" applyBorder="1" applyAlignment="1">
      <alignment horizontal="right" vertical="center"/>
    </xf>
    <xf numFmtId="0" fontId="6" fillId="33" borderId="13" xfId="0" applyFont="1" applyFill="1" applyBorder="1" applyAlignment="1">
      <alignment horizontal="right" vertical="center"/>
    </xf>
    <xf numFmtId="10" fontId="7" fillId="34" borderId="10" xfId="0" applyNumberFormat="1" applyFont="1" applyFill="1" applyBorder="1" applyAlignment="1">
      <alignment horizontal="right"/>
    </xf>
    <xf numFmtId="4" fontId="9" fillId="34" borderId="10" xfId="44" applyNumberFormat="1" applyFont="1" applyFill="1" applyBorder="1" applyAlignment="1">
      <alignment horizontal="right"/>
    </xf>
    <xf numFmtId="0" fontId="11" fillId="0" borderId="0" xfId="0" applyFont="1" applyAlignment="1">
      <alignment/>
    </xf>
    <xf numFmtId="0" fontId="11" fillId="0" borderId="0" xfId="0" applyFont="1" applyBorder="1" applyAlignment="1">
      <alignment/>
    </xf>
    <xf numFmtId="0" fontId="11" fillId="0" borderId="0" xfId="57" applyFont="1" applyFill="1" applyBorder="1" applyAlignment="1">
      <alignment horizontal="justify" vertical="top" wrapText="1"/>
      <protection/>
    </xf>
    <xf numFmtId="4" fontId="11" fillId="0" borderId="0" xfId="57" applyNumberFormat="1" applyFont="1" applyFill="1" applyBorder="1" applyAlignment="1">
      <alignment horizontal="center"/>
      <protection/>
    </xf>
    <xf numFmtId="4" fontId="11" fillId="0" borderId="0" xfId="57" applyNumberFormat="1" applyFont="1" applyFill="1" applyBorder="1" applyAlignment="1">
      <alignment/>
      <protection/>
    </xf>
    <xf numFmtId="4" fontId="11" fillId="0" borderId="0" xfId="57" applyNumberFormat="1" applyFont="1" applyFill="1" applyBorder="1" applyAlignment="1">
      <alignment horizontal="right"/>
      <protection/>
    </xf>
    <xf numFmtId="4" fontId="11" fillId="0" borderId="0" xfId="0" applyNumberFormat="1" applyFont="1" applyFill="1" applyBorder="1" applyAlignment="1">
      <alignment horizontal="right"/>
    </xf>
    <xf numFmtId="4" fontId="11" fillId="0" borderId="0" xfId="57" applyNumberFormat="1" applyFont="1" applyBorder="1" applyAlignment="1">
      <alignment horizontal="center"/>
      <protection/>
    </xf>
    <xf numFmtId="4" fontId="11" fillId="0" borderId="0" xfId="57" applyNumberFormat="1" applyFont="1" applyBorder="1" applyAlignment="1">
      <alignment/>
      <protection/>
    </xf>
    <xf numFmtId="4" fontId="11" fillId="0" borderId="0" xfId="57" applyNumberFormat="1" applyFont="1" applyBorder="1" applyAlignment="1">
      <alignment horizontal="right" wrapText="1"/>
      <protection/>
    </xf>
    <xf numFmtId="0" fontId="11" fillId="0" borderId="0" xfId="57" applyFont="1" applyBorder="1" applyAlignment="1">
      <alignment horizontal="justify" vertical="top"/>
      <protection/>
    </xf>
    <xf numFmtId="177" fontId="11" fillId="0" borderId="0" xfId="57" applyNumberFormat="1" applyFont="1" applyBorder="1" applyAlignment="1">
      <alignment/>
      <protection/>
    </xf>
    <xf numFmtId="0" fontId="11" fillId="0" borderId="0" xfId="0" applyFont="1" applyBorder="1" applyAlignment="1">
      <alignment horizontal="center" vertical="center"/>
    </xf>
    <xf numFmtId="0" fontId="11" fillId="0" borderId="0" xfId="57" applyFont="1" applyBorder="1" applyAlignment="1">
      <alignment horizontal="justify" vertical="top" wrapText="1"/>
      <protection/>
    </xf>
    <xf numFmtId="0" fontId="11" fillId="0" borderId="0" xfId="0" applyFont="1" applyFill="1" applyBorder="1" applyAlignment="1">
      <alignment horizontal="center" vertical="center"/>
    </xf>
    <xf numFmtId="0" fontId="11" fillId="0" borderId="0" xfId="0" applyFont="1" applyFill="1" applyBorder="1" applyAlignment="1">
      <alignment horizontal="justify" vertical="top" wrapText="1"/>
    </xf>
    <xf numFmtId="4" fontId="11" fillId="0" borderId="0" xfId="0" applyNumberFormat="1" applyFont="1" applyFill="1" applyBorder="1" applyAlignment="1">
      <alignment horizontal="right" wrapText="1"/>
    </xf>
    <xf numFmtId="0" fontId="3" fillId="0" borderId="10" xfId="0" applyFont="1" applyFill="1" applyBorder="1" applyAlignment="1">
      <alignment horizontal="left"/>
    </xf>
    <xf numFmtId="0" fontId="13" fillId="0" borderId="0" xfId="0" applyFont="1" applyBorder="1" applyAlignment="1">
      <alignment horizontal="center" vertical="center"/>
    </xf>
    <xf numFmtId="2" fontId="11" fillId="0" borderId="0" xfId="0" applyNumberFormat="1" applyFont="1" applyFill="1" applyBorder="1" applyAlignment="1">
      <alignment horizontal="right"/>
    </xf>
    <xf numFmtId="0" fontId="11" fillId="0" borderId="0" xfId="57" applyFont="1" applyFill="1" applyBorder="1" applyAlignment="1">
      <alignment horizontal="center" vertical="center"/>
      <protection/>
    </xf>
    <xf numFmtId="4" fontId="11" fillId="0" borderId="0" xfId="0" applyNumberFormat="1" applyFont="1" applyFill="1" applyBorder="1" applyAlignment="1">
      <alignment/>
    </xf>
    <xf numFmtId="4" fontId="12" fillId="0" borderId="0" xfId="0" applyNumberFormat="1" applyFont="1" applyFill="1" applyBorder="1" applyAlignment="1">
      <alignment horizontal="right"/>
    </xf>
    <xf numFmtId="0" fontId="11" fillId="0" borderId="0" xfId="0" applyFont="1" applyFill="1" applyBorder="1" applyAlignment="1">
      <alignment horizontal="justify" vertical="justify" wrapText="1"/>
    </xf>
    <xf numFmtId="0" fontId="11" fillId="0" borderId="0" xfId="0" applyFont="1" applyFill="1" applyBorder="1" applyAlignment="1">
      <alignment horizontal="justify" wrapText="1"/>
    </xf>
    <xf numFmtId="0" fontId="12" fillId="0" borderId="12" xfId="0" applyFont="1" applyFill="1" applyBorder="1" applyAlignment="1">
      <alignment horizontal="right" vertical="justify" wrapText="1"/>
    </xf>
    <xf numFmtId="0" fontId="12" fillId="0" borderId="13" xfId="0" applyFont="1" applyFill="1" applyBorder="1" applyAlignment="1">
      <alignment horizontal="right" vertical="justify" wrapText="1"/>
    </xf>
    <xf numFmtId="0" fontId="12" fillId="0" borderId="14" xfId="0" applyFont="1" applyFill="1" applyBorder="1" applyAlignment="1">
      <alignment horizontal="right" vertical="justify" wrapText="1"/>
    </xf>
    <xf numFmtId="4" fontId="12" fillId="0" borderId="10" xfId="0" applyNumberFormat="1" applyFont="1" applyFill="1" applyBorder="1" applyAlignment="1">
      <alignment horizontal="right" wrapText="1"/>
    </xf>
    <xf numFmtId="0" fontId="12" fillId="0" borderId="10" xfId="0" applyFont="1" applyBorder="1" applyAlignment="1">
      <alignment horizontal="center" vertical="center"/>
    </xf>
    <xf numFmtId="0" fontId="12" fillId="0" borderId="10" xfId="0" applyFont="1" applyBorder="1" applyAlignment="1">
      <alignment horizontal="left" vertical="center"/>
    </xf>
    <xf numFmtId="0" fontId="68" fillId="0" borderId="10" xfId="0" applyFont="1" applyBorder="1" applyAlignment="1">
      <alignment horizontal="center" vertical="center"/>
    </xf>
    <xf numFmtId="4" fontId="68" fillId="0" borderId="10" xfId="0" applyNumberFormat="1" applyFont="1" applyBorder="1" applyAlignment="1">
      <alignment horizontal="right" vertical="center"/>
    </xf>
    <xf numFmtId="4" fontId="69" fillId="0" borderId="10" xfId="0" applyNumberFormat="1" applyFont="1" applyBorder="1" applyAlignment="1">
      <alignment/>
    </xf>
    <xf numFmtId="185" fontId="11" fillId="0" borderId="0" xfId="0" applyNumberFormat="1" applyFont="1" applyFill="1" applyBorder="1" applyAlignment="1">
      <alignment horizontal="right" vertical="justify" wrapText="1"/>
    </xf>
    <xf numFmtId="185" fontId="11" fillId="0" borderId="0" xfId="57" applyNumberFormat="1" applyFont="1" applyFill="1" applyBorder="1" applyAlignment="1">
      <alignment/>
      <protection/>
    </xf>
    <xf numFmtId="0" fontId="11" fillId="0" borderId="0" xfId="57" applyFont="1" applyFill="1" applyBorder="1" applyAlignment="1">
      <alignment horizontal="center" vertical="center" wrapText="1"/>
      <protection/>
    </xf>
    <xf numFmtId="4" fontId="12" fillId="0" borderId="10" xfId="0" applyNumberFormat="1" applyFont="1" applyBorder="1" applyAlignment="1">
      <alignment horizontal="right"/>
    </xf>
    <xf numFmtId="174" fontId="12" fillId="0" borderId="10" xfId="63" applyFont="1" applyBorder="1" applyAlignment="1">
      <alignment horizontal="left" vertical="center"/>
    </xf>
    <xf numFmtId="4" fontId="11" fillId="0" borderId="10" xfId="0" applyNumberFormat="1" applyFont="1" applyBorder="1" applyAlignment="1">
      <alignment/>
    </xf>
    <xf numFmtId="4" fontId="12" fillId="0" borderId="10" xfId="63" applyNumberFormat="1" applyFont="1" applyBorder="1" applyAlignment="1">
      <alignment horizontal="left" vertical="center"/>
    </xf>
    <xf numFmtId="4" fontId="11" fillId="0" borderId="0" xfId="63" applyNumberFormat="1" applyFont="1" applyFill="1" applyBorder="1" applyAlignment="1">
      <alignment horizontal="right"/>
    </xf>
    <xf numFmtId="0" fontId="12" fillId="0" borderId="10" xfId="0" applyFont="1" applyBorder="1" applyAlignment="1">
      <alignment horizontal="left" vertical="justify" wrapText="1"/>
    </xf>
    <xf numFmtId="4" fontId="12" fillId="0" borderId="0" xfId="0" applyNumberFormat="1" applyFont="1" applyFill="1" applyBorder="1" applyAlignment="1">
      <alignment/>
    </xf>
    <xf numFmtId="3" fontId="11" fillId="0" borderId="0" xfId="57" applyNumberFormat="1" applyFont="1" applyFill="1" applyBorder="1" applyAlignment="1">
      <alignment horizontal="center" vertical="center" wrapText="1"/>
      <protection/>
    </xf>
    <xf numFmtId="3" fontId="11" fillId="0" borderId="0" xfId="57" applyNumberFormat="1" applyFont="1" applyBorder="1" applyAlignment="1">
      <alignment horizontal="center" vertical="center" wrapText="1"/>
      <protection/>
    </xf>
    <xf numFmtId="4" fontId="12" fillId="0" borderId="0" xfId="0" applyNumberFormat="1" applyFont="1" applyBorder="1" applyAlignment="1">
      <alignment/>
    </xf>
    <xf numFmtId="4" fontId="11" fillId="0" borderId="15" xfId="0" applyNumberFormat="1" applyFont="1" applyFill="1" applyBorder="1" applyAlignment="1">
      <alignment horizontal="right"/>
    </xf>
    <xf numFmtId="0" fontId="11" fillId="0" borderId="0" xfId="63" applyNumberFormat="1" applyFont="1" applyFill="1" applyBorder="1" applyAlignment="1">
      <alignment horizontal="justify" vertical="justify" wrapText="1"/>
    </xf>
    <xf numFmtId="4" fontId="12" fillId="0" borderId="0" xfId="63" applyNumberFormat="1" applyFont="1" applyFill="1" applyBorder="1" applyAlignment="1">
      <alignment horizontal="right"/>
    </xf>
    <xf numFmtId="0" fontId="15" fillId="0" borderId="0" xfId="0" applyFont="1" applyBorder="1" applyAlignment="1">
      <alignment/>
    </xf>
    <xf numFmtId="4" fontId="15" fillId="0" borderId="0" xfId="0" applyNumberFormat="1" applyFont="1" applyBorder="1" applyAlignment="1">
      <alignment/>
    </xf>
    <xf numFmtId="0" fontId="13" fillId="0" borderId="0" xfId="0" applyFont="1" applyBorder="1" applyAlignment="1">
      <alignment/>
    </xf>
    <xf numFmtId="4" fontId="13" fillId="0" borderId="0" xfId="0" applyNumberFormat="1" applyFont="1" applyBorder="1" applyAlignment="1">
      <alignment/>
    </xf>
    <xf numFmtId="0" fontId="13" fillId="0" borderId="0" xfId="0" applyFont="1" applyAlignment="1">
      <alignment/>
    </xf>
    <xf numFmtId="4" fontId="13" fillId="0" borderId="0" xfId="0" applyNumberFormat="1" applyFont="1" applyAlignment="1">
      <alignment/>
    </xf>
    <xf numFmtId="0" fontId="11" fillId="0" borderId="0" xfId="0" applyFont="1" applyFill="1" applyBorder="1" applyAlignment="1">
      <alignment/>
    </xf>
    <xf numFmtId="4" fontId="11" fillId="0" borderId="0" xfId="57" applyNumberFormat="1" applyFont="1" applyFill="1" applyBorder="1" applyAlignment="1">
      <alignment horizontal="right" wrapText="1"/>
      <protection/>
    </xf>
    <xf numFmtId="0" fontId="11" fillId="0" borderId="0" xfId="57" applyFont="1" applyFill="1" applyBorder="1" applyAlignment="1">
      <alignment horizontal="justify" vertical="top"/>
      <protection/>
    </xf>
    <xf numFmtId="177" fontId="11" fillId="0" borderId="0" xfId="57" applyNumberFormat="1" applyFont="1" applyFill="1" applyBorder="1" applyAlignment="1">
      <alignment/>
      <protection/>
    </xf>
    <xf numFmtId="0" fontId="12" fillId="0" borderId="10" xfId="0" applyFont="1" applyFill="1" applyBorder="1" applyAlignment="1">
      <alignment horizontal="center" vertical="center"/>
    </xf>
    <xf numFmtId="0" fontId="12" fillId="0" borderId="10" xfId="0" applyFont="1" applyFill="1" applyBorder="1" applyAlignment="1">
      <alignment horizontal="center" vertical="center" wrapText="1"/>
    </xf>
    <xf numFmtId="0" fontId="11" fillId="0" borderId="0" xfId="0" applyFont="1" applyFill="1" applyAlignment="1">
      <alignment/>
    </xf>
    <xf numFmtId="0" fontId="11" fillId="0" borderId="0" xfId="0" applyFont="1" applyBorder="1" applyAlignment="1">
      <alignment vertical="center"/>
    </xf>
    <xf numFmtId="0" fontId="11" fillId="0" borderId="0" xfId="0" applyFont="1" applyFill="1" applyBorder="1" applyAlignment="1">
      <alignment horizontal="center" vertical="center" wrapText="1"/>
    </xf>
    <xf numFmtId="0" fontId="11" fillId="0" borderId="10" xfId="0" applyFont="1" applyBorder="1" applyAlignment="1">
      <alignment horizontal="center" vertical="center"/>
    </xf>
    <xf numFmtId="49" fontId="11" fillId="0" borderId="0" xfId="0" applyNumberFormat="1" applyFont="1" applyFill="1" applyBorder="1" applyAlignment="1">
      <alignment horizontal="center" vertical="center" wrapText="1"/>
    </xf>
    <xf numFmtId="0" fontId="15" fillId="0" borderId="0" xfId="0" applyFont="1" applyBorder="1" applyAlignment="1">
      <alignment vertical="center"/>
    </xf>
    <xf numFmtId="49" fontId="11" fillId="0" borderId="16" xfId="0" applyNumberFormat="1"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0" xfId="0" applyFont="1" applyFill="1" applyBorder="1" applyAlignment="1" quotePrefix="1">
      <alignment horizontal="center" vertical="center" wrapText="1"/>
    </xf>
    <xf numFmtId="0" fontId="11" fillId="0" borderId="10" xfId="0" applyFont="1" applyBorder="1" applyAlignment="1">
      <alignment horizontal="center" vertical="center" wrapText="1"/>
    </xf>
    <xf numFmtId="0" fontId="15"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0" xfId="0" applyFont="1" applyAlignment="1">
      <alignment horizontal="center" vertical="center" wrapText="1"/>
    </xf>
    <xf numFmtId="0" fontId="11" fillId="0" borderId="0" xfId="0" applyFont="1" applyAlignment="1">
      <alignment vertical="center"/>
    </xf>
    <xf numFmtId="0" fontId="11" fillId="0" borderId="17"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0" xfId="0" applyFont="1" applyFill="1" applyBorder="1" applyAlignment="1">
      <alignment wrapText="1"/>
    </xf>
    <xf numFmtId="4" fontId="11" fillId="0" borderId="0" xfId="57" applyNumberFormat="1" applyFont="1" applyFill="1" applyBorder="1" applyAlignment="1">
      <alignment horizontal="center" wrapText="1"/>
      <protection/>
    </xf>
    <xf numFmtId="177" fontId="11" fillId="0" borderId="0" xfId="57" applyNumberFormat="1" applyFont="1" applyFill="1" applyBorder="1" applyAlignment="1">
      <alignment wrapText="1"/>
      <protection/>
    </xf>
    <xf numFmtId="4" fontId="11" fillId="0" borderId="0" xfId="57" applyNumberFormat="1" applyFont="1" applyFill="1" applyBorder="1" applyAlignment="1">
      <alignment wrapText="1"/>
      <protection/>
    </xf>
    <xf numFmtId="174" fontId="12" fillId="0" borderId="10" xfId="63" applyFont="1" applyBorder="1" applyAlignment="1">
      <alignment horizontal="center" vertical="center"/>
    </xf>
    <xf numFmtId="4" fontId="11" fillId="0" borderId="0" xfId="57" applyNumberFormat="1" applyFont="1" applyFill="1" applyBorder="1" applyAlignment="1">
      <alignment horizontal="center" vertical="center"/>
      <protection/>
    </xf>
    <xf numFmtId="4" fontId="11" fillId="0" borderId="0" xfId="0" applyNumberFormat="1" applyFont="1" applyFill="1" applyBorder="1" applyAlignment="1">
      <alignment horizontal="center" vertical="center" wrapText="1"/>
    </xf>
    <xf numFmtId="171" fontId="11" fillId="0" borderId="0" xfId="72" applyFont="1" applyFill="1" applyBorder="1" applyAlignment="1">
      <alignment horizontal="center" vertical="center"/>
    </xf>
    <xf numFmtId="174" fontId="11" fillId="0" borderId="0" xfId="63" applyFont="1" applyFill="1" applyBorder="1" applyAlignment="1">
      <alignment horizontal="center" vertical="center"/>
    </xf>
    <xf numFmtId="174" fontId="11" fillId="0" borderId="0" xfId="63" applyFont="1" applyBorder="1" applyAlignment="1">
      <alignment horizontal="center" vertical="center"/>
    </xf>
    <xf numFmtId="0" fontId="11" fillId="0" borderId="15" xfId="0" applyFont="1" applyFill="1" applyBorder="1" applyAlignment="1">
      <alignment horizontal="center" vertical="center"/>
    </xf>
    <xf numFmtId="0" fontId="3" fillId="0" borderId="10" xfId="0" applyFont="1" applyFill="1" applyBorder="1" applyAlignment="1">
      <alignment horizontal="center" vertical="center"/>
    </xf>
    <xf numFmtId="0" fontId="12" fillId="0" borderId="13" xfId="0" applyFont="1" applyFill="1" applyBorder="1" applyAlignment="1">
      <alignment horizontal="center" vertical="center" wrapText="1"/>
    </xf>
    <xf numFmtId="0" fontId="12" fillId="0" borderId="10" xfId="0" applyFont="1" applyBorder="1" applyAlignment="1">
      <alignment horizontal="center" vertical="center" wrapText="1"/>
    </xf>
    <xf numFmtId="0" fontId="15" fillId="0" borderId="0" xfId="0" applyFont="1" applyBorder="1" applyAlignment="1">
      <alignment horizontal="center" vertical="center"/>
    </xf>
    <xf numFmtId="0" fontId="13" fillId="0" borderId="0" xfId="0" applyFont="1" applyAlignment="1">
      <alignment horizontal="center" vertical="center"/>
    </xf>
    <xf numFmtId="0" fontId="12" fillId="0" borderId="10" xfId="0" applyFont="1" applyBorder="1" applyAlignment="1">
      <alignment horizontal="center"/>
    </xf>
    <xf numFmtId="49" fontId="14" fillId="0" borderId="10" xfId="0" applyNumberFormat="1" applyFont="1" applyFill="1" applyBorder="1" applyAlignment="1">
      <alignment horizontal="center"/>
    </xf>
    <xf numFmtId="0" fontId="3" fillId="0" borderId="10" xfId="0" applyFont="1" applyFill="1" applyBorder="1" applyAlignment="1">
      <alignment horizontal="left" vertical="justify" wrapText="1"/>
    </xf>
    <xf numFmtId="0" fontId="11" fillId="0" borderId="10" xfId="0" applyFont="1" applyBorder="1" applyAlignment="1">
      <alignment horizontal="center"/>
    </xf>
    <xf numFmtId="0" fontId="3" fillId="0" borderId="12" xfId="0" applyFont="1" applyFill="1" applyBorder="1" applyAlignment="1">
      <alignment horizontal="right" vertical="justify" wrapText="1"/>
    </xf>
    <xf numFmtId="0" fontId="3" fillId="0" borderId="13" xfId="0" applyFont="1" applyFill="1" applyBorder="1" applyAlignment="1">
      <alignment horizontal="right" vertical="justify" wrapText="1"/>
    </xf>
    <xf numFmtId="0" fontId="3" fillId="0" borderId="14" xfId="0" applyFont="1" applyFill="1" applyBorder="1" applyAlignment="1">
      <alignment horizontal="right" vertical="justify" wrapText="1"/>
    </xf>
    <xf numFmtId="4" fontId="3" fillId="0" borderId="10" xfId="63" applyNumberFormat="1" applyFont="1" applyFill="1" applyBorder="1" applyAlignment="1">
      <alignment horizontal="right"/>
    </xf>
    <xf numFmtId="0" fontId="3" fillId="0" borderId="10" xfId="0" applyFont="1" applyFill="1" applyBorder="1" applyAlignment="1">
      <alignment horizontal="left" vertical="center" wrapText="1"/>
    </xf>
    <xf numFmtId="0" fontId="3" fillId="0" borderId="13" xfId="0" applyFont="1" applyFill="1" applyBorder="1" applyAlignment="1">
      <alignment horizontal="right" vertical="center" wrapText="1"/>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4" fontId="70" fillId="0" borderId="0" xfId="57" applyNumberFormat="1" applyFont="1" applyBorder="1" applyAlignment="1">
      <alignment/>
      <protection/>
    </xf>
    <xf numFmtId="0" fontId="70" fillId="0" borderId="0" xfId="0" applyFont="1" applyBorder="1" applyAlignment="1">
      <alignment/>
    </xf>
    <xf numFmtId="0" fontId="70" fillId="0" borderId="0" xfId="0" applyFont="1" applyFill="1" applyBorder="1" applyAlignment="1">
      <alignment horizontal="center" vertical="center"/>
    </xf>
    <xf numFmtId="0" fontId="70" fillId="0" borderId="0" xfId="0" applyFont="1" applyFill="1" applyBorder="1" applyAlignment="1">
      <alignment horizontal="center" vertical="center" wrapText="1"/>
    </xf>
    <xf numFmtId="0" fontId="70" fillId="0" borderId="0" xfId="0" applyFont="1" applyFill="1" applyBorder="1" applyAlignment="1">
      <alignment horizontal="justify" vertical="justify" wrapText="1"/>
    </xf>
    <xf numFmtId="4" fontId="70" fillId="0" borderId="0" xfId="0" applyNumberFormat="1" applyFont="1" applyFill="1" applyBorder="1" applyAlignment="1">
      <alignment horizontal="right" wrapText="1"/>
    </xf>
    <xf numFmtId="4" fontId="70" fillId="0" borderId="0" xfId="57" applyNumberFormat="1" applyFont="1" applyFill="1" applyBorder="1" applyAlignment="1">
      <alignment horizontal="right"/>
      <protection/>
    </xf>
    <xf numFmtId="4" fontId="70" fillId="0" borderId="0" xfId="0" applyNumberFormat="1" applyFont="1" applyFill="1" applyBorder="1" applyAlignment="1">
      <alignment horizontal="right"/>
    </xf>
    <xf numFmtId="185" fontId="70" fillId="0" borderId="0" xfId="0" applyNumberFormat="1" applyFont="1" applyFill="1" applyBorder="1" applyAlignment="1">
      <alignment horizontal="right" vertical="justify" wrapText="1"/>
    </xf>
    <xf numFmtId="185" fontId="70" fillId="0" borderId="0" xfId="57" applyNumberFormat="1" applyFont="1" applyFill="1" applyBorder="1" applyAlignment="1">
      <alignment/>
      <protection/>
    </xf>
    <xf numFmtId="0" fontId="71" fillId="0" borderId="0" xfId="0" applyFont="1" applyFill="1" applyBorder="1" applyAlignment="1">
      <alignment horizontal="center" vertical="center"/>
    </xf>
    <xf numFmtId="0" fontId="71" fillId="0" borderId="0" xfId="0" applyFont="1" applyFill="1" applyBorder="1" applyAlignment="1">
      <alignment horizontal="center" vertical="center" wrapText="1"/>
    </xf>
    <xf numFmtId="0" fontId="71" fillId="0" borderId="0" xfId="0" applyFont="1" applyFill="1" applyBorder="1" applyAlignment="1">
      <alignment horizontal="justify" vertical="justify" wrapText="1"/>
    </xf>
    <xf numFmtId="4" fontId="71" fillId="0" borderId="0" xfId="0" applyNumberFormat="1" applyFont="1" applyFill="1" applyBorder="1" applyAlignment="1">
      <alignment horizontal="right" wrapText="1"/>
    </xf>
    <xf numFmtId="4" fontId="71" fillId="0" borderId="0" xfId="0" applyNumberFormat="1" applyFont="1" applyFill="1" applyBorder="1" applyAlignment="1">
      <alignment horizontal="right"/>
    </xf>
    <xf numFmtId="185" fontId="71" fillId="0" borderId="0" xfId="0" applyNumberFormat="1" applyFont="1" applyFill="1" applyBorder="1" applyAlignment="1">
      <alignment horizontal="right" vertical="justify" wrapText="1"/>
    </xf>
    <xf numFmtId="185" fontId="71" fillId="0" borderId="0" xfId="57" applyNumberFormat="1" applyFont="1" applyFill="1" applyBorder="1" applyAlignment="1">
      <alignment/>
      <protection/>
    </xf>
    <xf numFmtId="0" fontId="71" fillId="0" borderId="0" xfId="0" applyFont="1" applyBorder="1" applyAlignment="1">
      <alignment/>
    </xf>
    <xf numFmtId="0" fontId="70" fillId="35" borderId="0" xfId="0" applyFont="1" applyFill="1" applyBorder="1" applyAlignment="1">
      <alignment horizontal="center" vertical="center" wrapText="1"/>
    </xf>
    <xf numFmtId="0" fontId="70" fillId="0" borderId="0" xfId="0" applyFont="1" applyAlignment="1">
      <alignment/>
    </xf>
    <xf numFmtId="0" fontId="70" fillId="0" borderId="0" xfId="57" applyFont="1" applyFill="1" applyBorder="1" applyAlignment="1">
      <alignment horizontal="center" vertical="center" wrapText="1"/>
      <protection/>
    </xf>
    <xf numFmtId="0" fontId="70" fillId="0" borderId="0" xfId="0" applyFont="1" applyFill="1" applyAlignment="1">
      <alignment/>
    </xf>
    <xf numFmtId="0" fontId="70" fillId="0" borderId="0" xfId="0" applyFont="1" applyBorder="1" applyAlignment="1">
      <alignment horizontal="center" vertical="center"/>
    </xf>
    <xf numFmtId="0" fontId="70" fillId="0" borderId="0" xfId="0" applyFont="1" applyBorder="1" applyAlignment="1">
      <alignment horizontal="center" vertical="center" wrapText="1"/>
    </xf>
    <xf numFmtId="4" fontId="70" fillId="0" borderId="0" xfId="0" applyNumberFormat="1" applyFont="1" applyBorder="1" applyAlignment="1">
      <alignment/>
    </xf>
    <xf numFmtId="0" fontId="70" fillId="0" borderId="0" xfId="0" applyFont="1" applyFill="1" applyBorder="1" applyAlignment="1">
      <alignment horizontal="justify" vertical="top" wrapText="1"/>
    </xf>
    <xf numFmtId="4" fontId="70" fillId="0" borderId="0" xfId="63" applyNumberFormat="1" applyFont="1" applyFill="1" applyBorder="1" applyAlignment="1">
      <alignment horizontal="right"/>
    </xf>
    <xf numFmtId="0" fontId="70" fillId="0" borderId="0" xfId="0" applyFont="1" applyBorder="1" applyAlignment="1">
      <alignment horizontal="justify" vertical="top" wrapText="1"/>
    </xf>
    <xf numFmtId="4" fontId="70" fillId="0" borderId="0" xfId="63" applyNumberFormat="1" applyFont="1" applyBorder="1" applyAlignment="1">
      <alignment horizontal="right"/>
    </xf>
    <xf numFmtId="4" fontId="71" fillId="0" borderId="0" xfId="63" applyNumberFormat="1" applyFont="1" applyBorder="1" applyAlignment="1">
      <alignment horizontal="right"/>
    </xf>
    <xf numFmtId="171" fontId="70" fillId="0" borderId="0" xfId="72" applyFont="1" applyFill="1" applyBorder="1" applyAlignment="1">
      <alignment horizontal="center" vertical="center"/>
    </xf>
    <xf numFmtId="4" fontId="70" fillId="0" borderId="0" xfId="72" applyNumberFormat="1" applyFont="1" applyFill="1" applyBorder="1" applyAlignment="1">
      <alignment horizontal="right"/>
    </xf>
    <xf numFmtId="0" fontId="70" fillId="33" borderId="0" xfId="0" applyNumberFormat="1" applyFont="1" applyFill="1" applyBorder="1" applyAlignment="1">
      <alignment horizontal="justify" vertical="justify" wrapText="1"/>
    </xf>
    <xf numFmtId="171" fontId="70" fillId="0" borderId="0" xfId="72" applyFont="1" applyBorder="1" applyAlignment="1">
      <alignment horizontal="center" vertical="center"/>
    </xf>
    <xf numFmtId="2" fontId="70" fillId="0" borderId="0" xfId="72" applyNumberFormat="1" applyFont="1" applyBorder="1" applyAlignment="1">
      <alignment horizontal="right"/>
    </xf>
    <xf numFmtId="2" fontId="70" fillId="0" borderId="0" xfId="57" applyNumberFormat="1" applyFont="1" applyBorder="1">
      <alignment/>
      <protection/>
    </xf>
    <xf numFmtId="0" fontId="11" fillId="36" borderId="0" xfId="0" applyFont="1" applyFill="1" applyBorder="1" applyAlignment="1">
      <alignment horizontal="center" vertical="center"/>
    </xf>
    <xf numFmtId="4" fontId="11" fillId="36" borderId="0" xfId="57" applyNumberFormat="1" applyFont="1" applyFill="1" applyBorder="1" applyAlignment="1">
      <alignment horizontal="right"/>
      <protection/>
    </xf>
    <xf numFmtId="4" fontId="11" fillId="36" borderId="0" xfId="0" applyNumberFormat="1" applyFont="1" applyFill="1" applyBorder="1" applyAlignment="1">
      <alignment horizontal="right"/>
    </xf>
    <xf numFmtId="0" fontId="11" fillId="36" borderId="0" xfId="0" applyFont="1" applyFill="1" applyBorder="1" applyAlignment="1">
      <alignment/>
    </xf>
    <xf numFmtId="0" fontId="11" fillId="0" borderId="0" xfId="72" applyNumberFormat="1" applyFont="1" applyFill="1" applyBorder="1" applyAlignment="1">
      <alignment horizontal="center" vertical="center" wrapText="1"/>
    </xf>
    <xf numFmtId="3" fontId="11" fillId="0" borderId="0" xfId="0" applyNumberFormat="1" applyFont="1" applyFill="1" applyBorder="1" applyAlignment="1">
      <alignment horizontal="center" vertical="center" wrapText="1"/>
    </xf>
    <xf numFmtId="0" fontId="11" fillId="8" borderId="0" xfId="0" applyFont="1" applyFill="1" applyBorder="1" applyAlignment="1">
      <alignment/>
    </xf>
    <xf numFmtId="4" fontId="11" fillId="8" borderId="0" xfId="0" applyNumberFormat="1" applyFont="1" applyFill="1" applyBorder="1" applyAlignment="1">
      <alignment horizontal="right" wrapText="1"/>
    </xf>
    <xf numFmtId="0" fontId="11" fillId="0" borderId="0" xfId="57" applyFont="1" applyFill="1" applyBorder="1" applyAlignment="1">
      <alignment horizontal="justify" vertical="justify" wrapText="1"/>
      <protection/>
    </xf>
    <xf numFmtId="0" fontId="11" fillId="36" borderId="0" xfId="57" applyFont="1" applyFill="1" applyBorder="1" applyAlignment="1">
      <alignment horizontal="center" vertical="center"/>
      <protection/>
    </xf>
    <xf numFmtId="0" fontId="11" fillId="36" borderId="0" xfId="0" applyFont="1" applyFill="1" applyBorder="1" applyAlignment="1">
      <alignment horizontal="justify" vertical="top" wrapText="1"/>
    </xf>
    <xf numFmtId="4" fontId="13" fillId="36" borderId="0" xfId="0" applyNumberFormat="1" applyFont="1" applyFill="1" applyBorder="1" applyAlignment="1">
      <alignment horizontal="right"/>
    </xf>
    <xf numFmtId="4" fontId="11" fillId="36" borderId="0" xfId="57" applyNumberFormat="1" applyFont="1" applyFill="1" applyBorder="1" applyAlignment="1">
      <alignment horizontal="right" wrapText="1"/>
      <protection/>
    </xf>
    <xf numFmtId="0" fontId="11" fillId="36" borderId="0" xfId="57" applyFont="1" applyFill="1" applyBorder="1" applyAlignment="1">
      <alignment horizontal="justify" vertical="top"/>
      <protection/>
    </xf>
    <xf numFmtId="4" fontId="11" fillId="36" borderId="0" xfId="57" applyNumberFormat="1" applyFont="1" applyFill="1" applyBorder="1" applyAlignment="1">
      <alignment horizontal="center"/>
      <protection/>
    </xf>
    <xf numFmtId="177" fontId="11" fillId="36" borderId="0" xfId="57" applyNumberFormat="1" applyFont="1" applyFill="1" applyBorder="1" applyAlignment="1">
      <alignment/>
      <protection/>
    </xf>
    <xf numFmtId="4" fontId="11" fillId="36" borderId="0" xfId="57" applyNumberFormat="1" applyFont="1" applyFill="1" applyBorder="1" applyAlignment="1">
      <alignment/>
      <protection/>
    </xf>
    <xf numFmtId="4" fontId="11" fillId="8" borderId="0" xfId="57" applyNumberFormat="1" applyFont="1" applyFill="1" applyBorder="1" applyAlignment="1">
      <alignment horizontal="right" wrapText="1"/>
      <protection/>
    </xf>
    <xf numFmtId="0" fontId="11" fillId="8" borderId="0" xfId="57" applyFont="1" applyFill="1" applyBorder="1" applyAlignment="1">
      <alignment horizontal="justify" vertical="top"/>
      <protection/>
    </xf>
    <xf numFmtId="4" fontId="11" fillId="8" borderId="0" xfId="57" applyNumberFormat="1" applyFont="1" applyFill="1" applyBorder="1" applyAlignment="1">
      <alignment horizontal="center"/>
      <protection/>
    </xf>
    <xf numFmtId="177" fontId="11" fillId="8" borderId="0" xfId="57" applyNumberFormat="1" applyFont="1" applyFill="1" applyBorder="1" applyAlignment="1">
      <alignment/>
      <protection/>
    </xf>
    <xf numFmtId="4" fontId="11" fillId="8" borderId="0" xfId="57" applyNumberFormat="1" applyFont="1" applyFill="1" applyBorder="1" applyAlignment="1">
      <alignment/>
      <protection/>
    </xf>
    <xf numFmtId="0" fontId="11" fillId="37" borderId="0" xfId="0" applyFont="1" applyFill="1" applyAlignment="1">
      <alignment/>
    </xf>
    <xf numFmtId="4" fontId="11" fillId="8" borderId="0" xfId="57" applyNumberFormat="1" applyFont="1" applyFill="1" applyBorder="1" applyAlignment="1">
      <alignment horizontal="justify" vertical="top"/>
      <protection/>
    </xf>
    <xf numFmtId="0" fontId="11" fillId="38" borderId="0" xfId="0" applyFont="1" applyFill="1" applyAlignment="1">
      <alignment/>
    </xf>
    <xf numFmtId="0" fontId="11" fillId="0" borderId="19" xfId="0" applyFont="1" applyFill="1" applyBorder="1" applyAlignment="1">
      <alignment horizontal="justify" vertical="justify" wrapText="1"/>
    </xf>
    <xf numFmtId="0" fontId="11" fillId="0" borderId="19" xfId="0" applyFont="1" applyFill="1" applyBorder="1" applyAlignment="1">
      <alignment horizontal="center" vertical="center" wrapText="1"/>
    </xf>
    <xf numFmtId="0" fontId="11" fillId="0" borderId="15" xfId="0" applyFont="1" applyFill="1" applyBorder="1" applyAlignment="1">
      <alignment horizontal="justify" vertical="justify" wrapText="1"/>
    </xf>
    <xf numFmtId="0" fontId="11" fillId="36" borderId="0" xfId="0" applyFont="1" applyFill="1" applyBorder="1" applyAlignment="1">
      <alignment horizontal="center" vertical="center" wrapText="1"/>
    </xf>
    <xf numFmtId="4" fontId="11" fillId="36" borderId="0" xfId="63" applyNumberFormat="1" applyFont="1" applyFill="1" applyBorder="1" applyAlignment="1">
      <alignment horizontal="right"/>
    </xf>
    <xf numFmtId="171" fontId="11" fillId="36" borderId="0" xfId="72" applyFont="1" applyFill="1" applyBorder="1" applyAlignment="1">
      <alignment horizontal="center" vertical="center"/>
    </xf>
    <xf numFmtId="0" fontId="11" fillId="36" borderId="0" xfId="0" applyFont="1" applyFill="1" applyAlignment="1">
      <alignment/>
    </xf>
    <xf numFmtId="0" fontId="11" fillId="38" borderId="0" xfId="0" applyFont="1" applyFill="1" applyBorder="1" applyAlignment="1">
      <alignment/>
    </xf>
    <xf numFmtId="0" fontId="70" fillId="38" borderId="0" xfId="0" applyFont="1" applyFill="1" applyBorder="1" applyAlignment="1">
      <alignment/>
    </xf>
    <xf numFmtId="0" fontId="11" fillId="36" borderId="0" xfId="0" applyFont="1" applyFill="1" applyBorder="1" applyAlignment="1">
      <alignment horizontal="justify" vertical="justify" wrapText="1"/>
    </xf>
    <xf numFmtId="4" fontId="11" fillId="36" borderId="0" xfId="0" applyNumberFormat="1" applyFont="1" applyFill="1" applyBorder="1" applyAlignment="1">
      <alignment horizontal="right" wrapText="1"/>
    </xf>
    <xf numFmtId="4" fontId="11" fillId="36" borderId="0" xfId="0" applyNumberFormat="1" applyFont="1" applyFill="1" applyBorder="1" applyAlignment="1">
      <alignment/>
    </xf>
    <xf numFmtId="0" fontId="11" fillId="39" borderId="0" xfId="0" applyFont="1" applyFill="1" applyAlignment="1">
      <alignment/>
    </xf>
    <xf numFmtId="0" fontId="11" fillId="36" borderId="20" xfId="0" applyFont="1" applyFill="1" applyBorder="1" applyAlignment="1">
      <alignment horizontal="center" vertical="center"/>
    </xf>
    <xf numFmtId="0" fontId="11" fillId="36" borderId="0" xfId="0" applyFont="1" applyFill="1" applyBorder="1" applyAlignment="1">
      <alignment horizontal="justify" wrapText="1"/>
    </xf>
    <xf numFmtId="4" fontId="11" fillId="36" borderId="0" xfId="56" applyNumberFormat="1" applyFont="1" applyFill="1" applyBorder="1" applyAlignment="1">
      <alignment horizontal="center" vertical="center"/>
      <protection/>
    </xf>
    <xf numFmtId="0" fontId="11" fillId="36" borderId="17" xfId="0" applyFont="1" applyFill="1" applyBorder="1" applyAlignment="1">
      <alignment horizontal="center" vertical="center"/>
    </xf>
    <xf numFmtId="0" fontId="11" fillId="36" borderId="15" xfId="0" applyFont="1" applyFill="1" applyBorder="1" applyAlignment="1">
      <alignment horizontal="center" vertical="center" wrapText="1"/>
    </xf>
    <xf numFmtId="0" fontId="11" fillId="36" borderId="15" xfId="0" applyFont="1" applyFill="1" applyBorder="1" applyAlignment="1">
      <alignment horizontal="justify" wrapText="1"/>
    </xf>
    <xf numFmtId="4" fontId="11" fillId="36" borderId="15" xfId="56" applyNumberFormat="1" applyFont="1" applyFill="1" applyBorder="1" applyAlignment="1">
      <alignment horizontal="center" vertical="center"/>
      <protection/>
    </xf>
    <xf numFmtId="4" fontId="11" fillId="36" borderId="15" xfId="0" applyNumberFormat="1" applyFont="1" applyFill="1" applyBorder="1" applyAlignment="1">
      <alignment/>
    </xf>
    <xf numFmtId="4" fontId="11" fillId="36" borderId="15" xfId="57" applyNumberFormat="1" applyFont="1" applyFill="1" applyBorder="1" applyAlignment="1">
      <alignment horizontal="right"/>
      <protection/>
    </xf>
    <xf numFmtId="4" fontId="11" fillId="36" borderId="21" xfId="0" applyNumberFormat="1" applyFont="1" applyFill="1" applyBorder="1" applyAlignment="1">
      <alignment horizontal="right"/>
    </xf>
    <xf numFmtId="0" fontId="11" fillId="36" borderId="18" xfId="0" applyFont="1" applyFill="1" applyBorder="1" applyAlignment="1">
      <alignment horizontal="center" vertical="center"/>
    </xf>
    <xf numFmtId="4" fontId="11" fillId="36" borderId="22" xfId="0" applyNumberFormat="1" applyFont="1" applyFill="1" applyBorder="1" applyAlignment="1">
      <alignment horizontal="right"/>
    </xf>
    <xf numFmtId="0" fontId="11" fillId="36" borderId="23" xfId="0" applyFont="1" applyFill="1" applyBorder="1" applyAlignment="1">
      <alignment horizontal="center" vertical="center"/>
    </xf>
    <xf numFmtId="0" fontId="11" fillId="36" borderId="19" xfId="0" applyFont="1" applyFill="1" applyBorder="1" applyAlignment="1">
      <alignment horizontal="justify" wrapText="1"/>
    </xf>
    <xf numFmtId="4" fontId="11" fillId="36" borderId="19" xfId="56" applyNumberFormat="1" applyFont="1" applyFill="1" applyBorder="1" applyAlignment="1">
      <alignment horizontal="center" vertical="center"/>
      <protection/>
    </xf>
    <xf numFmtId="4" fontId="11" fillId="36" borderId="19" xfId="0" applyNumberFormat="1" applyFont="1" applyFill="1" applyBorder="1" applyAlignment="1">
      <alignment/>
    </xf>
    <xf numFmtId="4" fontId="11" fillId="36" borderId="19" xfId="57" applyNumberFormat="1" applyFont="1" applyFill="1" applyBorder="1" applyAlignment="1">
      <alignment horizontal="right"/>
      <protection/>
    </xf>
    <xf numFmtId="4" fontId="11" fillId="36" borderId="11" xfId="0" applyNumberFormat="1" applyFont="1" applyFill="1" applyBorder="1" applyAlignment="1">
      <alignment horizontal="right"/>
    </xf>
    <xf numFmtId="2" fontId="11" fillId="36" borderId="0" xfId="0" applyNumberFormat="1" applyFont="1" applyFill="1" applyBorder="1" applyAlignment="1">
      <alignment horizontal="right"/>
    </xf>
    <xf numFmtId="0" fontId="11" fillId="36" borderId="15" xfId="0" applyFont="1" applyFill="1" applyBorder="1" applyAlignment="1">
      <alignment horizontal="center" vertical="center"/>
    </xf>
    <xf numFmtId="2" fontId="11" fillId="36" borderId="15" xfId="0" applyNumberFormat="1" applyFont="1" applyFill="1" applyBorder="1" applyAlignment="1">
      <alignment horizontal="right"/>
    </xf>
    <xf numFmtId="0" fontId="11" fillId="36" borderId="15" xfId="0" applyFont="1" applyFill="1" applyBorder="1" applyAlignment="1">
      <alignment horizontal="justify" vertical="justify" wrapText="1"/>
    </xf>
    <xf numFmtId="0" fontId="11" fillId="36" borderId="0" xfId="57" applyFont="1" applyFill="1" applyBorder="1" applyAlignment="1">
      <alignment horizontal="center" vertical="center" wrapText="1"/>
      <protection/>
    </xf>
    <xf numFmtId="0" fontId="11" fillId="36" borderId="15" xfId="57" applyFont="1" applyFill="1" applyBorder="1" applyAlignment="1">
      <alignment horizontal="center" vertical="center" wrapText="1"/>
      <protection/>
    </xf>
    <xf numFmtId="0" fontId="11" fillId="36" borderId="19" xfId="57" applyFont="1" applyFill="1" applyBorder="1" applyAlignment="1">
      <alignment horizontal="center" vertical="center" wrapText="1"/>
      <protection/>
    </xf>
    <xf numFmtId="174" fontId="11" fillId="36" borderId="19" xfId="63" applyFont="1" applyFill="1" applyBorder="1" applyAlignment="1">
      <alignment horizontal="center"/>
    </xf>
    <xf numFmtId="4" fontId="11" fillId="36" borderId="19" xfId="63" applyNumberFormat="1" applyFont="1" applyFill="1" applyBorder="1" applyAlignment="1">
      <alignment horizontal="right"/>
    </xf>
    <xf numFmtId="0" fontId="12" fillId="36" borderId="20" xfId="0" applyFont="1" applyFill="1" applyBorder="1" applyAlignment="1">
      <alignment horizontal="center" vertical="center" wrapText="1"/>
    </xf>
    <xf numFmtId="4" fontId="12" fillId="36" borderId="20" xfId="0" applyNumberFormat="1" applyFont="1" applyFill="1" applyBorder="1" applyAlignment="1">
      <alignment horizontal="right" wrapText="1"/>
    </xf>
    <xf numFmtId="49" fontId="11" fillId="36" borderId="0" xfId="0" applyNumberFormat="1" applyFont="1" applyFill="1" applyBorder="1" applyAlignment="1">
      <alignment horizontal="center"/>
    </xf>
    <xf numFmtId="0" fontId="11" fillId="36" borderId="0" xfId="63" applyNumberFormat="1" applyFont="1" applyFill="1" applyBorder="1" applyAlignment="1">
      <alignment horizontal="justify" vertical="justify" wrapText="1"/>
    </xf>
    <xf numFmtId="174" fontId="11" fillId="36" borderId="0" xfId="63" applyFont="1" applyFill="1" applyBorder="1" applyAlignment="1">
      <alignment horizontal="center"/>
    </xf>
    <xf numFmtId="0" fontId="11" fillId="36" borderId="17" xfId="0" applyFont="1" applyFill="1" applyBorder="1" applyAlignment="1">
      <alignment horizontal="center"/>
    </xf>
    <xf numFmtId="49" fontId="11" fillId="36" borderId="15" xfId="0" applyNumberFormat="1" applyFont="1" applyFill="1" applyBorder="1" applyAlignment="1">
      <alignment horizontal="center"/>
    </xf>
    <xf numFmtId="0" fontId="11" fillId="36" borderId="15" xfId="63" applyNumberFormat="1" applyFont="1" applyFill="1" applyBorder="1" applyAlignment="1">
      <alignment horizontal="justify" vertical="justify" wrapText="1"/>
    </xf>
    <xf numFmtId="174" fontId="11" fillId="36" borderId="15" xfId="63" applyFont="1" applyFill="1" applyBorder="1" applyAlignment="1">
      <alignment horizontal="center"/>
    </xf>
    <xf numFmtId="4" fontId="11" fillId="36" borderId="15" xfId="63" applyNumberFormat="1" applyFont="1" applyFill="1" applyBorder="1" applyAlignment="1">
      <alignment horizontal="right"/>
    </xf>
    <xf numFmtId="0" fontId="11" fillId="36" borderId="18" xfId="0" applyFont="1" applyFill="1" applyBorder="1" applyAlignment="1">
      <alignment horizontal="center"/>
    </xf>
    <xf numFmtId="0" fontId="11" fillId="36" borderId="23" xfId="0" applyFont="1" applyFill="1" applyBorder="1" applyAlignment="1">
      <alignment horizontal="center"/>
    </xf>
    <xf numFmtId="49" fontId="11" fillId="36" borderId="19" xfId="0" applyNumberFormat="1" applyFont="1" applyFill="1" applyBorder="1" applyAlignment="1">
      <alignment horizontal="center"/>
    </xf>
    <xf numFmtId="0" fontId="11" fillId="36" borderId="19" xfId="63" applyNumberFormat="1" applyFont="1" applyFill="1" applyBorder="1" applyAlignment="1">
      <alignment horizontal="justify" vertical="justify" wrapText="1"/>
    </xf>
    <xf numFmtId="4" fontId="11" fillId="36" borderId="15" xfId="0" applyNumberFormat="1" applyFont="1" applyFill="1" applyBorder="1" applyAlignment="1">
      <alignment horizontal="right" wrapText="1"/>
    </xf>
    <xf numFmtId="4" fontId="11" fillId="0" borderId="15" xfId="57" applyNumberFormat="1" applyFont="1" applyFill="1" applyBorder="1" applyAlignment="1">
      <alignment horizontal="right"/>
      <protection/>
    </xf>
    <xf numFmtId="4" fontId="11" fillId="0" borderId="21" xfId="0" applyNumberFormat="1" applyFont="1" applyFill="1" applyBorder="1" applyAlignment="1">
      <alignment horizontal="right"/>
    </xf>
    <xf numFmtId="4" fontId="11" fillId="0" borderId="22" xfId="0" applyNumberFormat="1" applyFont="1" applyFill="1" applyBorder="1" applyAlignment="1">
      <alignment horizontal="right"/>
    </xf>
    <xf numFmtId="0" fontId="11" fillId="0" borderId="23" xfId="0" applyFont="1" applyFill="1" applyBorder="1" applyAlignment="1">
      <alignment horizontal="center" vertical="center"/>
    </xf>
    <xf numFmtId="0" fontId="11" fillId="0" borderId="19" xfId="0" applyFont="1" applyFill="1" applyBorder="1" applyAlignment="1">
      <alignment horizontal="center" vertical="center"/>
    </xf>
    <xf numFmtId="4" fontId="11" fillId="0" borderId="19" xfId="57" applyNumberFormat="1" applyFont="1" applyFill="1" applyBorder="1" applyAlignment="1">
      <alignment horizontal="right"/>
      <protection/>
    </xf>
    <xf numFmtId="4" fontId="11" fillId="0" borderId="19" xfId="0" applyNumberFormat="1" applyFont="1" applyFill="1" applyBorder="1" applyAlignment="1">
      <alignment horizontal="right"/>
    </xf>
    <xf numFmtId="4" fontId="11" fillId="0" borderId="11" xfId="0" applyNumberFormat="1" applyFont="1" applyFill="1" applyBorder="1" applyAlignment="1">
      <alignment horizontal="right"/>
    </xf>
    <xf numFmtId="0" fontId="12" fillId="0" borderId="16" xfId="0" applyFont="1" applyBorder="1" applyAlignment="1">
      <alignment horizontal="center" vertical="center"/>
    </xf>
    <xf numFmtId="0" fontId="11" fillId="40" borderId="10" xfId="0" applyFont="1" applyFill="1" applyBorder="1" applyAlignment="1">
      <alignment horizontal="center" vertical="center"/>
    </xf>
    <xf numFmtId="0" fontId="11" fillId="40" borderId="10" xfId="0" applyFont="1" applyFill="1" applyBorder="1" applyAlignment="1">
      <alignment horizontal="center" vertical="center" wrapText="1"/>
    </xf>
    <xf numFmtId="0" fontId="11" fillId="40" borderId="10" xfId="0" applyFont="1" applyFill="1" applyBorder="1" applyAlignment="1">
      <alignment horizontal="justify" vertical="justify" wrapText="1"/>
    </xf>
    <xf numFmtId="2" fontId="11" fillId="40" borderId="10" xfId="0" applyNumberFormat="1" applyFont="1" applyFill="1" applyBorder="1" applyAlignment="1">
      <alignment horizontal="right"/>
    </xf>
    <xf numFmtId="4" fontId="11" fillId="40" borderId="10" xfId="57" applyNumberFormat="1" applyFont="1" applyFill="1" applyBorder="1" applyAlignment="1">
      <alignment horizontal="right"/>
      <protection/>
    </xf>
    <xf numFmtId="4" fontId="11" fillId="40" borderId="10" xfId="0" applyNumberFormat="1" applyFont="1" applyFill="1" applyBorder="1" applyAlignment="1">
      <alignment horizontal="right"/>
    </xf>
    <xf numFmtId="0" fontId="11" fillId="40" borderId="10" xfId="57" applyFont="1" applyFill="1" applyBorder="1" applyAlignment="1">
      <alignment horizontal="center" vertical="center"/>
      <protection/>
    </xf>
    <xf numFmtId="0" fontId="11" fillId="40" borderId="10" xfId="0" applyFont="1" applyFill="1" applyBorder="1" applyAlignment="1">
      <alignment horizontal="justify" vertical="top" wrapText="1"/>
    </xf>
    <xf numFmtId="4" fontId="13" fillId="40" borderId="10" xfId="0" applyNumberFormat="1" applyFont="1" applyFill="1" applyBorder="1" applyAlignment="1">
      <alignment horizontal="right"/>
    </xf>
    <xf numFmtId="0" fontId="11" fillId="40" borderId="10" xfId="57" applyFont="1" applyFill="1" applyBorder="1" applyAlignment="1">
      <alignment horizontal="center" vertical="center" wrapText="1"/>
      <protection/>
    </xf>
    <xf numFmtId="4" fontId="11" fillId="40" borderId="10" xfId="57" applyNumberFormat="1" applyFont="1" applyFill="1" applyBorder="1" applyAlignment="1">
      <alignment horizontal="center" vertical="center"/>
      <protection/>
    </xf>
    <xf numFmtId="4" fontId="11" fillId="40" borderId="10" xfId="57" applyNumberFormat="1" applyFont="1" applyFill="1" applyBorder="1" applyAlignment="1">
      <alignment/>
      <protection/>
    </xf>
    <xf numFmtId="0" fontId="11" fillId="40" borderId="10" xfId="57" applyFont="1" applyFill="1" applyBorder="1" applyAlignment="1">
      <alignment horizontal="justify" vertical="top" wrapText="1"/>
      <protection/>
    </xf>
    <xf numFmtId="0" fontId="11" fillId="40" borderId="10" xfId="0" applyFont="1" applyFill="1" applyBorder="1" applyAlignment="1">
      <alignment horizontal="justify" wrapText="1"/>
    </xf>
    <xf numFmtId="4" fontId="11" fillId="40" borderId="10" xfId="56" applyNumberFormat="1" applyFont="1" applyFill="1" applyBorder="1" applyAlignment="1">
      <alignment horizontal="center" vertical="center"/>
      <protection/>
    </xf>
    <xf numFmtId="4" fontId="11" fillId="40" borderId="10" xfId="0" applyNumberFormat="1" applyFont="1" applyFill="1" applyBorder="1" applyAlignment="1">
      <alignment/>
    </xf>
    <xf numFmtId="0" fontId="11" fillId="40" borderId="24" xfId="0" applyFont="1" applyFill="1" applyBorder="1" applyAlignment="1">
      <alignment horizontal="center" vertical="center"/>
    </xf>
    <xf numFmtId="0" fontId="11" fillId="40" borderId="24" xfId="57" applyFont="1" applyFill="1" applyBorder="1" applyAlignment="1">
      <alignment horizontal="center" vertical="center" wrapText="1"/>
      <protection/>
    </xf>
    <xf numFmtId="0" fontId="11" fillId="40" borderId="24" xfId="0" applyFont="1" applyFill="1" applyBorder="1" applyAlignment="1">
      <alignment horizontal="justify" wrapText="1"/>
    </xf>
    <xf numFmtId="4" fontId="11" fillId="40" borderId="24" xfId="56" applyNumberFormat="1" applyFont="1" applyFill="1" applyBorder="1" applyAlignment="1">
      <alignment horizontal="center" vertical="center"/>
      <protection/>
    </xf>
    <xf numFmtId="4" fontId="11" fillId="40" borderId="24" xfId="0" applyNumberFormat="1" applyFont="1" applyFill="1" applyBorder="1" applyAlignment="1">
      <alignment/>
    </xf>
    <xf numFmtId="4" fontId="11" fillId="40" borderId="24" xfId="57" applyNumberFormat="1" applyFont="1" applyFill="1" applyBorder="1" applyAlignment="1">
      <alignment horizontal="right"/>
      <protection/>
    </xf>
    <xf numFmtId="4" fontId="11" fillId="40" borderId="24" xfId="0" applyNumberFormat="1" applyFont="1" applyFill="1" applyBorder="1" applyAlignment="1">
      <alignment horizontal="right"/>
    </xf>
    <xf numFmtId="4" fontId="11" fillId="40" borderId="10" xfId="0" applyNumberFormat="1" applyFont="1" applyFill="1" applyBorder="1" applyAlignment="1">
      <alignment horizontal="center" vertical="center" wrapText="1"/>
    </xf>
    <xf numFmtId="4" fontId="11" fillId="40" borderId="10" xfId="0" applyNumberFormat="1" applyFont="1" applyFill="1" applyBorder="1" applyAlignment="1">
      <alignment horizontal="right" wrapText="1"/>
    </xf>
    <xf numFmtId="0" fontId="70" fillId="40" borderId="10" xfId="0" applyFont="1" applyFill="1" applyBorder="1" applyAlignment="1">
      <alignment horizontal="center" vertical="center"/>
    </xf>
    <xf numFmtId="0" fontId="70" fillId="40" borderId="10" xfId="0" applyFont="1" applyFill="1" applyBorder="1" applyAlignment="1">
      <alignment horizontal="center" vertical="center" wrapText="1"/>
    </xf>
    <xf numFmtId="0" fontId="70" fillId="40" borderId="10" xfId="0" applyFont="1" applyFill="1" applyBorder="1" applyAlignment="1">
      <alignment horizontal="justify" vertical="justify" wrapText="1"/>
    </xf>
    <xf numFmtId="4" fontId="70" fillId="40" borderId="10" xfId="0" applyNumberFormat="1" applyFont="1" applyFill="1" applyBorder="1" applyAlignment="1">
      <alignment horizontal="center" vertical="center" wrapText="1"/>
    </xf>
    <xf numFmtId="4" fontId="70" fillId="40" borderId="10" xfId="0" applyNumberFormat="1" applyFont="1" applyFill="1" applyBorder="1" applyAlignment="1">
      <alignment horizontal="right" wrapText="1"/>
    </xf>
    <xf numFmtId="4" fontId="70" fillId="40" borderId="10" xfId="0" applyNumberFormat="1" applyFont="1" applyFill="1" applyBorder="1" applyAlignment="1">
      <alignment/>
    </xf>
    <xf numFmtId="4" fontId="70" fillId="40" borderId="10" xfId="57" applyNumberFormat="1" applyFont="1" applyFill="1" applyBorder="1" applyAlignment="1">
      <alignment horizontal="right"/>
      <protection/>
    </xf>
    <xf numFmtId="4" fontId="70" fillId="40" borderId="10" xfId="0" applyNumberFormat="1" applyFont="1" applyFill="1" applyBorder="1" applyAlignment="1">
      <alignment horizontal="right"/>
    </xf>
    <xf numFmtId="0" fontId="11" fillId="40" borderId="20" xfId="0" applyFont="1" applyFill="1" applyBorder="1" applyAlignment="1">
      <alignment horizontal="center" vertical="center"/>
    </xf>
    <xf numFmtId="0" fontId="11" fillId="40" borderId="20" xfId="0" applyFont="1" applyFill="1" applyBorder="1" applyAlignment="1">
      <alignment horizontal="center" vertical="center" wrapText="1"/>
    </xf>
    <xf numFmtId="0" fontId="11" fillId="40" borderId="20" xfId="0" applyFont="1" applyFill="1" applyBorder="1" applyAlignment="1">
      <alignment horizontal="justify" vertical="justify" wrapText="1"/>
    </xf>
    <xf numFmtId="4" fontId="11" fillId="40" borderId="20" xfId="0" applyNumberFormat="1" applyFont="1" applyFill="1" applyBorder="1" applyAlignment="1">
      <alignment horizontal="center" vertical="center" wrapText="1"/>
    </xf>
    <xf numFmtId="4" fontId="11" fillId="40" borderId="20" xfId="0" applyNumberFormat="1" applyFont="1" applyFill="1" applyBorder="1" applyAlignment="1">
      <alignment horizontal="right" wrapText="1"/>
    </xf>
    <xf numFmtId="4" fontId="11" fillId="40" borderId="20" xfId="0" applyNumberFormat="1" applyFont="1" applyFill="1" applyBorder="1" applyAlignment="1">
      <alignment/>
    </xf>
    <xf numFmtId="4" fontId="11" fillId="40" borderId="20" xfId="57" applyNumberFormat="1" applyFont="1" applyFill="1" applyBorder="1" applyAlignment="1">
      <alignment horizontal="right"/>
      <protection/>
    </xf>
    <xf numFmtId="4" fontId="11" fillId="40" borderId="20" xfId="0" applyNumberFormat="1" applyFont="1" applyFill="1" applyBorder="1" applyAlignment="1">
      <alignment horizontal="right"/>
    </xf>
    <xf numFmtId="0" fontId="11" fillId="40" borderId="16" xfId="0" applyFont="1" applyFill="1" applyBorder="1" applyAlignment="1">
      <alignment horizontal="center" vertical="center"/>
    </xf>
    <xf numFmtId="0" fontId="11" fillId="40" borderId="16" xfId="0" applyFont="1" applyFill="1" applyBorder="1" applyAlignment="1">
      <alignment horizontal="center" vertical="center" wrapText="1"/>
    </xf>
    <xf numFmtId="0" fontId="11" fillId="40" borderId="16" xfId="0" applyFont="1" applyFill="1" applyBorder="1" applyAlignment="1">
      <alignment horizontal="justify" vertical="justify" wrapText="1"/>
    </xf>
    <xf numFmtId="4" fontId="11" fillId="40" borderId="16" xfId="0" applyNumberFormat="1" applyFont="1" applyFill="1" applyBorder="1" applyAlignment="1">
      <alignment horizontal="right" wrapText="1"/>
    </xf>
    <xf numFmtId="4" fontId="11" fillId="40" borderId="16" xfId="0" applyNumberFormat="1" applyFont="1" applyFill="1" applyBorder="1" applyAlignment="1">
      <alignment/>
    </xf>
    <xf numFmtId="4" fontId="11" fillId="40" borderId="16" xfId="57" applyNumberFormat="1" applyFont="1" applyFill="1" applyBorder="1" applyAlignment="1">
      <alignment horizontal="right"/>
      <protection/>
    </xf>
    <xf numFmtId="4" fontId="11" fillId="40" borderId="16" xfId="0" applyNumberFormat="1" applyFont="1" applyFill="1" applyBorder="1" applyAlignment="1">
      <alignment horizontal="right"/>
    </xf>
    <xf numFmtId="0" fontId="70" fillId="0" borderId="18" xfId="0" applyFont="1" applyFill="1" applyBorder="1" applyAlignment="1">
      <alignment horizontal="center" vertical="center"/>
    </xf>
    <xf numFmtId="185" fontId="70" fillId="0" borderId="22" xfId="57" applyNumberFormat="1" applyFont="1" applyFill="1" applyBorder="1" applyAlignment="1">
      <alignment/>
      <protection/>
    </xf>
    <xf numFmtId="0" fontId="70" fillId="0" borderId="23" xfId="0" applyFont="1" applyFill="1" applyBorder="1" applyAlignment="1">
      <alignment horizontal="center" vertical="center"/>
    </xf>
    <xf numFmtId="0" fontId="70" fillId="0" borderId="19" xfId="0" applyFont="1" applyFill="1" applyBorder="1" applyAlignment="1">
      <alignment horizontal="center" vertical="center" wrapText="1"/>
    </xf>
    <xf numFmtId="0" fontId="70" fillId="0" borderId="19" xfId="0" applyFont="1" applyFill="1" applyBorder="1" applyAlignment="1">
      <alignment horizontal="justify" vertical="justify" wrapText="1"/>
    </xf>
    <xf numFmtId="4" fontId="70" fillId="0" borderId="19" xfId="0" applyNumberFormat="1" applyFont="1" applyFill="1" applyBorder="1" applyAlignment="1">
      <alignment horizontal="right" wrapText="1"/>
    </xf>
    <xf numFmtId="185" fontId="70" fillId="0" borderId="19" xfId="0" applyNumberFormat="1" applyFont="1" applyFill="1" applyBorder="1" applyAlignment="1">
      <alignment horizontal="right" vertical="justify" wrapText="1"/>
    </xf>
    <xf numFmtId="185" fontId="70" fillId="0" borderId="11" xfId="57" applyNumberFormat="1" applyFont="1" applyFill="1" applyBorder="1" applyAlignment="1">
      <alignment/>
      <protection/>
    </xf>
    <xf numFmtId="4" fontId="11" fillId="40" borderId="10" xfId="63" applyNumberFormat="1" applyFont="1" applyFill="1" applyBorder="1" applyAlignment="1">
      <alignment horizontal="right"/>
    </xf>
    <xf numFmtId="4" fontId="70" fillId="40" borderId="16" xfId="57" applyNumberFormat="1" applyFont="1" applyFill="1" applyBorder="1" applyAlignment="1">
      <alignment horizontal="right"/>
      <protection/>
    </xf>
    <xf numFmtId="4" fontId="70" fillId="40" borderId="16" xfId="0" applyNumberFormat="1" applyFont="1" applyFill="1" applyBorder="1" applyAlignment="1">
      <alignment horizontal="right"/>
    </xf>
    <xf numFmtId="0" fontId="11" fillId="40" borderId="24" xfId="0" applyFont="1" applyFill="1" applyBorder="1" applyAlignment="1">
      <alignment horizontal="center" vertical="center" wrapText="1"/>
    </xf>
    <xf numFmtId="0" fontId="11" fillId="40" borderId="24" xfId="0" applyFont="1" applyFill="1" applyBorder="1" applyAlignment="1">
      <alignment horizontal="justify" vertical="justify" wrapText="1"/>
    </xf>
    <xf numFmtId="4" fontId="70" fillId="40" borderId="24" xfId="57" applyNumberFormat="1" applyFont="1" applyFill="1" applyBorder="1" applyAlignment="1">
      <alignment horizontal="right"/>
      <protection/>
    </xf>
    <xf numFmtId="4" fontId="70" fillId="40" borderId="24" xfId="0" applyNumberFormat="1" applyFont="1" applyFill="1" applyBorder="1" applyAlignment="1">
      <alignment horizontal="right"/>
    </xf>
    <xf numFmtId="4" fontId="70" fillId="40" borderId="20" xfId="57" applyNumberFormat="1" applyFont="1" applyFill="1" applyBorder="1" applyAlignment="1">
      <alignment horizontal="right"/>
      <protection/>
    </xf>
    <xf numFmtId="4" fontId="70" fillId="40" borderId="20" xfId="0" applyNumberFormat="1" applyFont="1" applyFill="1" applyBorder="1" applyAlignment="1">
      <alignment horizontal="right"/>
    </xf>
    <xf numFmtId="174" fontId="11" fillId="40" borderId="10" xfId="63" applyFont="1" applyFill="1" applyBorder="1" applyAlignment="1">
      <alignment horizontal="center" vertical="center"/>
    </xf>
    <xf numFmtId="3" fontId="11" fillId="40" borderId="10" xfId="57" applyNumberFormat="1" applyFont="1" applyFill="1" applyBorder="1" applyAlignment="1">
      <alignment horizontal="center" vertical="center" wrapText="1"/>
      <protection/>
    </xf>
    <xf numFmtId="49" fontId="11" fillId="40" borderId="10" xfId="0" applyNumberFormat="1" applyFont="1" applyFill="1" applyBorder="1" applyAlignment="1">
      <alignment horizontal="center" vertical="center" wrapText="1"/>
    </xf>
    <xf numFmtId="0" fontId="11" fillId="40" borderId="10" xfId="63" applyNumberFormat="1" applyFont="1" applyFill="1" applyBorder="1" applyAlignment="1">
      <alignment horizontal="justify" vertical="justify" wrapText="1"/>
    </xf>
    <xf numFmtId="4" fontId="12" fillId="0" borderId="15" xfId="0" applyNumberFormat="1" applyFont="1" applyFill="1" applyBorder="1" applyAlignment="1">
      <alignment horizontal="right"/>
    </xf>
    <xf numFmtId="49" fontId="11" fillId="36" borderId="17" xfId="0" applyNumberFormat="1" applyFont="1" applyFill="1" applyBorder="1" applyAlignment="1">
      <alignment horizontal="center" vertical="center" wrapText="1"/>
    </xf>
    <xf numFmtId="0" fontId="41" fillId="36" borderId="15" xfId="0" applyFont="1" applyFill="1" applyBorder="1" applyAlignment="1">
      <alignment horizontal="center" vertical="center"/>
    </xf>
    <xf numFmtId="0" fontId="11" fillId="36" borderId="15" xfId="0" applyFont="1" applyFill="1" applyBorder="1" applyAlignment="1">
      <alignment horizontal="justify" vertical="center" wrapText="1"/>
    </xf>
    <xf numFmtId="194" fontId="11" fillId="36" borderId="15" xfId="48" applyNumberFormat="1" applyFont="1" applyFill="1" applyBorder="1" applyAlignment="1">
      <alignment horizontal="center" vertical="center" wrapText="1"/>
    </xf>
    <xf numFmtId="4" fontId="11" fillId="36" borderId="15" xfId="58" applyNumberFormat="1" applyFont="1" applyFill="1" applyBorder="1" applyAlignment="1">
      <alignment horizontal="center"/>
      <protection/>
    </xf>
    <xf numFmtId="0" fontId="41" fillId="0" borderId="0" xfId="0" applyFont="1" applyBorder="1" applyAlignment="1">
      <alignment/>
    </xf>
    <xf numFmtId="49" fontId="11" fillId="36" borderId="18" xfId="0" applyNumberFormat="1" applyFont="1" applyFill="1" applyBorder="1" applyAlignment="1">
      <alignment horizontal="center" vertical="center" wrapText="1"/>
    </xf>
    <xf numFmtId="0" fontId="41" fillId="36" borderId="0" xfId="0" applyFont="1" applyFill="1" applyBorder="1" applyAlignment="1">
      <alignment horizontal="center" vertical="center"/>
    </xf>
    <xf numFmtId="0" fontId="11" fillId="36" borderId="0" xfId="0" applyFont="1" applyFill="1" applyBorder="1" applyAlignment="1">
      <alignment horizontal="justify" vertical="center" wrapText="1"/>
    </xf>
    <xf numFmtId="194" fontId="11" fillId="36" borderId="0" xfId="48" applyNumberFormat="1" applyFont="1" applyFill="1" applyBorder="1" applyAlignment="1">
      <alignment horizontal="center" vertical="center" wrapText="1"/>
    </xf>
    <xf numFmtId="4" fontId="11" fillId="36" borderId="0" xfId="58" applyNumberFormat="1" applyFont="1" applyFill="1" applyBorder="1" applyAlignment="1">
      <alignment horizontal="center"/>
      <protection/>
    </xf>
    <xf numFmtId="49" fontId="12" fillId="36" borderId="18" xfId="0" applyNumberFormat="1" applyFont="1" applyFill="1" applyBorder="1" applyAlignment="1">
      <alignment horizontal="center" vertical="center" wrapText="1"/>
    </xf>
    <xf numFmtId="0" fontId="42" fillId="36" borderId="0" xfId="0" applyFont="1" applyFill="1" applyBorder="1" applyAlignment="1">
      <alignment horizontal="center" vertical="center"/>
    </xf>
    <xf numFmtId="0" fontId="12" fillId="36" borderId="0" xfId="0" applyFont="1" applyFill="1" applyBorder="1" applyAlignment="1">
      <alignment horizontal="justify" vertical="center" wrapText="1"/>
    </xf>
    <xf numFmtId="0" fontId="12" fillId="36" borderId="0" xfId="0" applyFont="1" applyFill="1" applyBorder="1" applyAlignment="1">
      <alignment horizontal="center" vertical="center"/>
    </xf>
    <xf numFmtId="194" fontId="12" fillId="36" borderId="0" xfId="48" applyNumberFormat="1" applyFont="1" applyFill="1" applyBorder="1" applyAlignment="1">
      <alignment horizontal="center" vertical="center" wrapText="1"/>
    </xf>
    <xf numFmtId="4" fontId="12" fillId="36" borderId="0" xfId="58" applyNumberFormat="1" applyFont="1" applyFill="1" applyBorder="1" applyAlignment="1">
      <alignment horizontal="center"/>
      <protection/>
    </xf>
    <xf numFmtId="0" fontId="42" fillId="41" borderId="0" xfId="0" applyFont="1" applyFill="1" applyBorder="1" applyAlignment="1">
      <alignment/>
    </xf>
    <xf numFmtId="49" fontId="11" fillId="36" borderId="23" xfId="0" applyNumberFormat="1" applyFont="1" applyFill="1" applyBorder="1" applyAlignment="1">
      <alignment horizontal="center" vertical="center" wrapText="1"/>
    </xf>
    <xf numFmtId="0" fontId="51" fillId="36" borderId="0" xfId="0" applyFont="1" applyFill="1" applyBorder="1" applyAlignment="1">
      <alignment horizontal="center" vertical="center"/>
    </xf>
    <xf numFmtId="4" fontId="11" fillId="40" borderId="16" xfId="0" applyNumberFormat="1" applyFont="1" applyFill="1" applyBorder="1" applyAlignment="1">
      <alignment horizontal="center" vertical="center" wrapText="1"/>
    </xf>
    <xf numFmtId="0" fontId="11" fillId="0" borderId="20" xfId="0" applyFont="1" applyBorder="1" applyAlignment="1">
      <alignment horizontal="center" vertical="center"/>
    </xf>
    <xf numFmtId="0" fontId="12" fillId="0" borderId="20" xfId="0" applyFont="1" applyFill="1" applyBorder="1" applyAlignment="1">
      <alignment horizontal="center" vertical="center" wrapText="1"/>
    </xf>
    <xf numFmtId="0" fontId="12" fillId="0" borderId="23" xfId="0" applyFont="1" applyFill="1" applyBorder="1" applyAlignment="1">
      <alignment horizontal="right" vertical="justify" wrapText="1"/>
    </xf>
    <xf numFmtId="0" fontId="12" fillId="0" borderId="19" xfId="0" applyFont="1" applyFill="1" applyBorder="1" applyAlignment="1">
      <alignment horizontal="center" vertical="center" wrapText="1"/>
    </xf>
    <xf numFmtId="0" fontId="12" fillId="0" borderId="19" xfId="0" applyFont="1" applyFill="1" applyBorder="1" applyAlignment="1">
      <alignment horizontal="right" vertical="justify" wrapText="1"/>
    </xf>
    <xf numFmtId="0" fontId="12" fillId="0" borderId="11" xfId="0" applyFont="1" applyFill="1" applyBorder="1" applyAlignment="1">
      <alignment horizontal="right" vertical="justify" wrapText="1"/>
    </xf>
    <xf numFmtId="4" fontId="12" fillId="0" borderId="20" xfId="0" applyNumberFormat="1" applyFont="1" applyFill="1" applyBorder="1" applyAlignment="1">
      <alignment horizontal="right" wrapText="1"/>
    </xf>
    <xf numFmtId="173" fontId="11" fillId="36" borderId="0" xfId="48" applyFont="1" applyFill="1" applyBorder="1" applyAlignment="1">
      <alignment horizontal="right"/>
    </xf>
    <xf numFmtId="0" fontId="61" fillId="0" borderId="0" xfId="0" applyFont="1" applyBorder="1" applyAlignment="1">
      <alignment/>
    </xf>
    <xf numFmtId="173" fontId="12" fillId="36" borderId="0" xfId="48" applyFont="1" applyFill="1" applyBorder="1" applyAlignment="1">
      <alignment horizontal="right"/>
    </xf>
    <xf numFmtId="0" fontId="70" fillId="36" borderId="0" xfId="0" applyFont="1" applyFill="1" applyBorder="1" applyAlignment="1">
      <alignment horizontal="justify" vertical="center" wrapText="1"/>
    </xf>
    <xf numFmtId="0" fontId="61" fillId="0" borderId="0" xfId="0" applyFont="1" applyFill="1" applyBorder="1" applyAlignment="1">
      <alignment/>
    </xf>
    <xf numFmtId="0" fontId="72" fillId="0" borderId="0" xfId="0" applyFont="1" applyFill="1" applyBorder="1" applyAlignment="1">
      <alignment/>
    </xf>
    <xf numFmtId="173" fontId="11" fillId="36" borderId="15" xfId="48" applyFont="1" applyFill="1" applyBorder="1" applyAlignment="1">
      <alignment horizontal="right"/>
    </xf>
    <xf numFmtId="0" fontId="61" fillId="0" borderId="15" xfId="0" applyFont="1" applyBorder="1" applyAlignment="1">
      <alignment/>
    </xf>
    <xf numFmtId="0" fontId="41" fillId="0" borderId="21" xfId="0" applyFont="1" applyBorder="1" applyAlignment="1">
      <alignment/>
    </xf>
    <xf numFmtId="0" fontId="41" fillId="0" borderId="22" xfId="0" applyFont="1" applyBorder="1" applyAlignment="1">
      <alignment/>
    </xf>
    <xf numFmtId="0" fontId="41" fillId="0" borderId="22" xfId="0" applyFont="1" applyFill="1" applyBorder="1" applyAlignment="1">
      <alignment/>
    </xf>
    <xf numFmtId="0" fontId="42" fillId="0" borderId="22" xfId="0" applyFont="1" applyFill="1" applyBorder="1" applyAlignment="1">
      <alignment/>
    </xf>
    <xf numFmtId="0" fontId="51" fillId="36" borderId="19" xfId="0" applyFont="1" applyFill="1" applyBorder="1" applyAlignment="1">
      <alignment horizontal="center" vertical="center"/>
    </xf>
    <xf numFmtId="0" fontId="71" fillId="36" borderId="19" xfId="0" applyFont="1" applyFill="1" applyBorder="1" applyAlignment="1">
      <alignment horizontal="right" vertical="center" wrapText="1"/>
    </xf>
    <xf numFmtId="0" fontId="12" fillId="36" borderId="19" xfId="0" applyFont="1" applyFill="1" applyBorder="1" applyAlignment="1">
      <alignment horizontal="center" vertical="center"/>
    </xf>
    <xf numFmtId="194" fontId="12" fillId="36" borderId="19" xfId="48" applyNumberFormat="1" applyFont="1" applyFill="1" applyBorder="1" applyAlignment="1">
      <alignment horizontal="center" vertical="center" wrapText="1"/>
    </xf>
    <xf numFmtId="4" fontId="11" fillId="36" borderId="19" xfId="58" applyNumberFormat="1" applyFont="1" applyFill="1" applyBorder="1" applyAlignment="1">
      <alignment horizontal="center"/>
      <protection/>
    </xf>
    <xf numFmtId="173" fontId="11" fillId="36" borderId="19" xfId="48" applyFont="1" applyFill="1" applyBorder="1" applyAlignment="1">
      <alignment horizontal="right"/>
    </xf>
    <xf numFmtId="0" fontId="41" fillId="0" borderId="19" xfId="0" applyFont="1" applyBorder="1" applyAlignment="1">
      <alignment/>
    </xf>
    <xf numFmtId="0" fontId="41" fillId="0" borderId="11" xfId="0" applyFont="1" applyBorder="1" applyAlignment="1">
      <alignment/>
    </xf>
    <xf numFmtId="0" fontId="12" fillId="36" borderId="20" xfId="0" applyFont="1" applyFill="1" applyBorder="1" applyAlignment="1">
      <alignment horizontal="right" vertical="justify" wrapText="1"/>
    </xf>
    <xf numFmtId="0" fontId="11" fillId="40" borderId="10" xfId="0" applyFont="1" applyFill="1" applyBorder="1" applyAlignment="1" quotePrefix="1">
      <alignment horizontal="center" vertical="center" wrapText="1"/>
    </xf>
    <xf numFmtId="0" fontId="11" fillId="40" borderId="24" xfId="0" applyFont="1" applyFill="1" applyBorder="1" applyAlignment="1">
      <alignment horizontal="center"/>
    </xf>
    <xf numFmtId="49" fontId="11" fillId="40" borderId="24" xfId="0" applyNumberFormat="1" applyFont="1" applyFill="1" applyBorder="1" applyAlignment="1">
      <alignment horizontal="center"/>
    </xf>
    <xf numFmtId="0" fontId="11" fillId="40" borderId="24" xfId="63" applyNumberFormat="1" applyFont="1" applyFill="1" applyBorder="1" applyAlignment="1">
      <alignment horizontal="justify" vertical="justify" wrapText="1"/>
    </xf>
    <xf numFmtId="174" fontId="11" fillId="40" borderId="24" xfId="63" applyFont="1" applyFill="1" applyBorder="1" applyAlignment="1">
      <alignment horizontal="center"/>
    </xf>
    <xf numFmtId="4" fontId="11" fillId="40" borderId="24" xfId="63" applyNumberFormat="1" applyFont="1" applyFill="1" applyBorder="1" applyAlignment="1">
      <alignment horizontal="right"/>
    </xf>
    <xf numFmtId="174" fontId="11" fillId="40" borderId="10" xfId="63" applyFont="1" applyFill="1" applyBorder="1" applyAlignment="1">
      <alignment horizontal="center"/>
    </xf>
    <xf numFmtId="0" fontId="70" fillId="40" borderId="10" xfId="0" applyFont="1" applyFill="1" applyBorder="1" applyAlignment="1">
      <alignment horizontal="center" vertical="justify" wrapText="1"/>
    </xf>
    <xf numFmtId="171" fontId="11" fillId="40" borderId="10" xfId="72" applyFont="1" applyFill="1" applyBorder="1" applyAlignment="1">
      <alignment horizontal="center" vertical="center"/>
    </xf>
    <xf numFmtId="4" fontId="11" fillId="0" borderId="0" xfId="72" applyNumberFormat="1" applyFont="1" applyFill="1" applyBorder="1" applyAlignment="1">
      <alignment horizontal="right"/>
    </xf>
    <xf numFmtId="0" fontId="12" fillId="0" borderId="0" xfId="0" applyFont="1" applyFill="1" applyBorder="1" applyAlignment="1">
      <alignment horizontal="justify" vertical="top" wrapText="1"/>
    </xf>
    <xf numFmtId="171" fontId="12" fillId="0" borderId="0" xfId="72" applyFont="1" applyFill="1" applyBorder="1" applyAlignment="1">
      <alignment horizontal="center" vertical="center"/>
    </xf>
    <xf numFmtId="0" fontId="12" fillId="0" borderId="0" xfId="0" applyFont="1" applyFill="1" applyAlignment="1">
      <alignment/>
    </xf>
    <xf numFmtId="0" fontId="11" fillId="40" borderId="0" xfId="0" applyFont="1" applyFill="1" applyAlignment="1">
      <alignment/>
    </xf>
    <xf numFmtId="4" fontId="12" fillId="0" borderId="0" xfId="57" applyNumberFormat="1" applyFont="1" applyFill="1" applyBorder="1" applyAlignment="1">
      <alignment horizontal="right"/>
      <protection/>
    </xf>
    <xf numFmtId="4" fontId="11" fillId="0" borderId="0" xfId="0" applyNumberFormat="1" applyFont="1" applyBorder="1" applyAlignment="1">
      <alignment/>
    </xf>
    <xf numFmtId="0" fontId="11" fillId="40" borderId="10" xfId="0" applyFont="1" applyFill="1" applyBorder="1" applyAlignment="1">
      <alignment horizontal="center"/>
    </xf>
    <xf numFmtId="49" fontId="11" fillId="40" borderId="10" xfId="0" applyNumberFormat="1" applyFont="1" applyFill="1" applyBorder="1" applyAlignment="1">
      <alignment horizontal="center"/>
    </xf>
    <xf numFmtId="0" fontId="16" fillId="8" borderId="0" xfId="0" applyFont="1" applyFill="1" applyBorder="1" applyAlignment="1">
      <alignment/>
    </xf>
    <xf numFmtId="49" fontId="73" fillId="36" borderId="17" xfId="54" applyNumberFormat="1" applyFont="1" applyFill="1" applyBorder="1" applyAlignment="1">
      <alignment horizontal="center"/>
      <protection/>
    </xf>
    <xf numFmtId="49" fontId="73" fillId="36" borderId="15" xfId="52" applyNumberFormat="1" applyFont="1" applyFill="1" applyBorder="1">
      <alignment/>
      <protection/>
    </xf>
    <xf numFmtId="4" fontId="73" fillId="36" borderId="17" xfId="54" applyNumberFormat="1" applyFont="1" applyFill="1" applyBorder="1" applyAlignment="1">
      <alignment horizontal="left"/>
      <protection/>
    </xf>
    <xf numFmtId="4" fontId="73" fillId="36" borderId="15" xfId="54" applyNumberFormat="1" applyFont="1" applyFill="1" applyBorder="1" applyAlignment="1">
      <alignment horizontal="left"/>
      <protection/>
    </xf>
    <xf numFmtId="0" fontId="44" fillId="0" borderId="15" xfId="0" applyFont="1" applyBorder="1" applyAlignment="1">
      <alignment horizontal="center"/>
    </xf>
    <xf numFmtId="0" fontId="44" fillId="0" borderId="21" xfId="0" applyFont="1" applyBorder="1" applyAlignment="1">
      <alignment/>
    </xf>
    <xf numFmtId="0" fontId="44" fillId="0" borderId="0" xfId="0" applyFont="1" applyBorder="1" applyAlignment="1">
      <alignment/>
    </xf>
    <xf numFmtId="0" fontId="44" fillId="0" borderId="0" xfId="0" applyFont="1" applyAlignment="1">
      <alignment/>
    </xf>
    <xf numFmtId="49" fontId="73" fillId="36" borderId="18" xfId="54" applyNumberFormat="1" applyFont="1" applyFill="1" applyBorder="1" applyAlignment="1">
      <alignment horizontal="center"/>
      <protection/>
    </xf>
    <xf numFmtId="49" fontId="73" fillId="36" borderId="0" xfId="52" applyNumberFormat="1" applyFont="1" applyFill="1" applyBorder="1">
      <alignment/>
      <protection/>
    </xf>
    <xf numFmtId="4" fontId="73" fillId="36" borderId="18" xfId="52" applyNumberFormat="1" applyFont="1" applyFill="1" applyBorder="1" applyAlignment="1">
      <alignment horizontal="left"/>
      <protection/>
    </xf>
    <xf numFmtId="4" fontId="73" fillId="36" borderId="0" xfId="52" applyNumberFormat="1" applyFont="1" applyFill="1" applyBorder="1" applyAlignment="1">
      <alignment horizontal="left"/>
      <protection/>
    </xf>
    <xf numFmtId="0" fontId="44" fillId="0" borderId="0" xfId="0" applyFont="1" applyBorder="1" applyAlignment="1">
      <alignment horizontal="center"/>
    </xf>
    <xf numFmtId="0" fontId="44" fillId="0" borderId="22" xfId="0" applyFont="1" applyBorder="1" applyAlignment="1">
      <alignment/>
    </xf>
    <xf numFmtId="49" fontId="73" fillId="36" borderId="23" xfId="54" applyNumberFormat="1" applyFont="1" applyFill="1" applyBorder="1" applyAlignment="1">
      <alignment horizontal="center"/>
      <protection/>
    </xf>
    <xf numFmtId="49" fontId="73" fillId="36" borderId="19" xfId="55" applyNumberFormat="1" applyFont="1" applyFill="1" applyBorder="1" applyAlignment="1">
      <alignment horizontal="center"/>
      <protection/>
    </xf>
    <xf numFmtId="4" fontId="74" fillId="36" borderId="19" xfId="55" applyNumberFormat="1" applyFont="1" applyFill="1" applyBorder="1" applyAlignment="1">
      <alignment vertical="center" readingOrder="1"/>
      <protection/>
    </xf>
    <xf numFmtId="0" fontId="44" fillId="0" borderId="19" xfId="0" applyFont="1" applyBorder="1" applyAlignment="1">
      <alignment/>
    </xf>
    <xf numFmtId="0" fontId="16" fillId="36" borderId="11" xfId="55" applyFont="1" applyFill="1" applyBorder="1" applyAlignment="1">
      <alignment/>
      <protection/>
    </xf>
    <xf numFmtId="4" fontId="19" fillId="0" borderId="10" xfId="0" applyNumberFormat="1" applyFont="1" applyBorder="1" applyAlignment="1">
      <alignment horizontal="center" vertical="center"/>
    </xf>
    <xf numFmtId="0" fontId="19" fillId="0" borderId="10" xfId="0" applyFont="1" applyBorder="1" applyAlignment="1">
      <alignment horizontal="center" vertical="center"/>
    </xf>
    <xf numFmtId="0" fontId="21" fillId="0" borderId="0" xfId="53" applyFont="1">
      <alignment/>
      <protection/>
    </xf>
    <xf numFmtId="0" fontId="4" fillId="0" borderId="0" xfId="53">
      <alignment/>
      <protection/>
    </xf>
    <xf numFmtId="44" fontId="20" fillId="0" borderId="15" xfId="52" applyNumberFormat="1" applyFont="1" applyBorder="1" applyAlignment="1">
      <alignment vertical="center" wrapText="1" readingOrder="1"/>
      <protection/>
    </xf>
    <xf numFmtId="44" fontId="20" fillId="0" borderId="0" xfId="52" applyNumberFormat="1" applyFont="1" applyBorder="1" applyAlignment="1">
      <alignment vertical="center" wrapText="1" readingOrder="1"/>
      <protection/>
    </xf>
    <xf numFmtId="4" fontId="16" fillId="0" borderId="0" xfId="52" applyNumberFormat="1" applyFont="1" applyFill="1" applyBorder="1" applyAlignment="1">
      <alignment vertical="center" wrapText="1" readingOrder="1"/>
      <protection/>
    </xf>
    <xf numFmtId="0" fontId="16" fillId="0" borderId="0" xfId="55" applyFont="1" applyFill="1" applyBorder="1" applyAlignment="1">
      <alignment/>
      <protection/>
    </xf>
    <xf numFmtId="4" fontId="75" fillId="0" borderId="0" xfId="52" applyNumberFormat="1" applyFont="1" applyFill="1" applyBorder="1" applyAlignment="1">
      <alignment vertical="center" wrapText="1"/>
      <protection/>
    </xf>
    <xf numFmtId="4" fontId="75" fillId="0" borderId="0" xfId="55" applyNumberFormat="1" applyFont="1" applyFill="1" applyBorder="1" applyAlignment="1">
      <alignment vertical="center" wrapText="1"/>
      <protection/>
    </xf>
    <xf numFmtId="0" fontId="21" fillId="0" borderId="0" xfId="53" applyFont="1" applyBorder="1">
      <alignment/>
      <protection/>
    </xf>
    <xf numFmtId="0" fontId="23" fillId="0" borderId="0" xfId="55" applyFont="1" applyFill="1" applyBorder="1" applyAlignment="1">
      <alignment vertical="center" wrapText="1"/>
      <protection/>
    </xf>
    <xf numFmtId="4" fontId="75" fillId="0" borderId="23" xfId="55" applyNumberFormat="1" applyFont="1" applyFill="1" applyBorder="1" applyAlignment="1">
      <alignment vertical="center" wrapText="1"/>
      <protection/>
    </xf>
    <xf numFmtId="4" fontId="75" fillId="0" borderId="19" xfId="55" applyNumberFormat="1" applyFont="1" applyFill="1" applyBorder="1" applyAlignment="1">
      <alignment vertical="center" wrapText="1"/>
      <protection/>
    </xf>
    <xf numFmtId="0" fontId="7" fillId="0" borderId="24" xfId="0" applyFont="1" applyFill="1" applyBorder="1" applyAlignment="1">
      <alignment horizontal="left"/>
    </xf>
    <xf numFmtId="10" fontId="9" fillId="34" borderId="10" xfId="44" applyNumberFormat="1" applyFont="1" applyFill="1" applyBorder="1" applyAlignment="1">
      <alignment horizontal="right"/>
    </xf>
    <xf numFmtId="4" fontId="76" fillId="36" borderId="15" xfId="52" applyNumberFormat="1" applyFont="1" applyFill="1" applyBorder="1" applyAlignment="1">
      <alignment horizontal="left" vertical="center" readingOrder="1"/>
      <protection/>
    </xf>
    <xf numFmtId="4" fontId="76" fillId="36" borderId="21" xfId="52" applyNumberFormat="1" applyFont="1" applyFill="1" applyBorder="1" applyAlignment="1">
      <alignment horizontal="left" vertical="center" readingOrder="1"/>
      <protection/>
    </xf>
    <xf numFmtId="4" fontId="76" fillId="36" borderId="0" xfId="52" applyNumberFormat="1" applyFont="1" applyFill="1" applyBorder="1" applyAlignment="1">
      <alignment horizontal="left" vertical="center" readingOrder="1"/>
      <protection/>
    </xf>
    <xf numFmtId="4" fontId="76" fillId="36" borderId="22" xfId="52" applyNumberFormat="1" applyFont="1" applyFill="1" applyBorder="1" applyAlignment="1">
      <alignment horizontal="left" vertical="center" readingOrder="1"/>
      <protection/>
    </xf>
    <xf numFmtId="4" fontId="16" fillId="36" borderId="18" xfId="55" applyNumberFormat="1" applyFont="1" applyFill="1" applyBorder="1" applyAlignment="1">
      <alignment horizontal="left" vertical="center"/>
      <protection/>
    </xf>
    <xf numFmtId="4" fontId="16" fillId="36" borderId="0" xfId="55" applyNumberFormat="1" applyFont="1" applyFill="1" applyBorder="1" applyAlignment="1">
      <alignment horizontal="left" vertical="center"/>
      <protection/>
    </xf>
    <xf numFmtId="4" fontId="16" fillId="36" borderId="22" xfId="55" applyNumberFormat="1" applyFont="1" applyFill="1" applyBorder="1" applyAlignment="1">
      <alignment horizontal="left" vertical="center"/>
      <protection/>
    </xf>
    <xf numFmtId="4" fontId="17" fillId="36" borderId="0" xfId="52" applyNumberFormat="1" applyFont="1" applyFill="1" applyBorder="1" applyAlignment="1">
      <alignment horizontal="left" vertical="center" wrapText="1" readingOrder="1"/>
      <protection/>
    </xf>
    <xf numFmtId="4" fontId="17" fillId="36" borderId="22" xfId="52" applyNumberFormat="1" applyFont="1" applyFill="1" applyBorder="1" applyAlignment="1">
      <alignment horizontal="left" vertical="center" wrapText="1" readingOrder="1"/>
      <protection/>
    </xf>
    <xf numFmtId="0" fontId="18" fillId="36" borderId="18" xfId="0" applyFont="1" applyFill="1" applyBorder="1" applyAlignment="1">
      <alignment horizontal="left" vertical="center" wrapText="1" readingOrder="1"/>
    </xf>
    <xf numFmtId="0" fontId="18" fillId="36" borderId="0" xfId="0" applyFont="1" applyFill="1" applyBorder="1" applyAlignment="1">
      <alignment horizontal="left" vertical="center" wrapText="1" readingOrder="1"/>
    </xf>
    <xf numFmtId="0" fontId="18" fillId="36" borderId="22" xfId="0" applyFont="1" applyFill="1" applyBorder="1" applyAlignment="1">
      <alignment horizontal="left" vertical="center" wrapText="1" readingOrder="1"/>
    </xf>
    <xf numFmtId="0" fontId="16" fillId="36" borderId="18" xfId="0" applyFont="1" applyFill="1" applyBorder="1" applyAlignment="1">
      <alignment horizontal="left" vertical="center" wrapText="1"/>
    </xf>
    <xf numFmtId="0" fontId="16" fillId="36" borderId="0" xfId="0" applyFont="1" applyFill="1" applyBorder="1" applyAlignment="1">
      <alignment horizontal="left" vertical="center" wrapText="1"/>
    </xf>
    <xf numFmtId="0" fontId="16" fillId="36" borderId="22" xfId="0" applyFont="1" applyFill="1" applyBorder="1" applyAlignment="1">
      <alignment horizontal="left" vertical="center" wrapText="1"/>
    </xf>
    <xf numFmtId="4" fontId="77" fillId="36" borderId="0" xfId="52" applyNumberFormat="1" applyFont="1" applyFill="1" applyBorder="1" applyAlignment="1">
      <alignment horizontal="left" vertical="center" readingOrder="1"/>
      <protection/>
    </xf>
    <xf numFmtId="4" fontId="77" fillId="36" borderId="22" xfId="52" applyNumberFormat="1" applyFont="1" applyFill="1" applyBorder="1" applyAlignment="1">
      <alignment horizontal="left" vertical="center" readingOrder="1"/>
      <protection/>
    </xf>
    <xf numFmtId="4" fontId="75" fillId="36" borderId="18" xfId="52" applyNumberFormat="1" applyFont="1" applyFill="1" applyBorder="1" applyAlignment="1">
      <alignment horizontal="left" vertical="center"/>
      <protection/>
    </xf>
    <xf numFmtId="4" fontId="75" fillId="36" borderId="0" xfId="52" applyNumberFormat="1" applyFont="1" applyFill="1" applyBorder="1" applyAlignment="1">
      <alignment horizontal="left" vertical="center"/>
      <protection/>
    </xf>
    <xf numFmtId="4" fontId="75" fillId="36" borderId="22" xfId="52" applyNumberFormat="1" applyFont="1" applyFill="1" applyBorder="1" applyAlignment="1">
      <alignment horizontal="left" vertical="center"/>
      <protection/>
    </xf>
    <xf numFmtId="4" fontId="78" fillId="36" borderId="0" xfId="55" applyNumberFormat="1" applyFont="1" applyFill="1" applyBorder="1" applyAlignment="1">
      <alignment horizontal="left" vertical="center" readingOrder="1"/>
      <protection/>
    </xf>
    <xf numFmtId="4" fontId="78" fillId="36" borderId="22" xfId="55" applyNumberFormat="1" applyFont="1" applyFill="1" applyBorder="1" applyAlignment="1">
      <alignment horizontal="left" vertical="center" readingOrder="1"/>
      <protection/>
    </xf>
    <xf numFmtId="0" fontId="12" fillId="0" borderId="16" xfId="0" applyFont="1" applyFill="1" applyBorder="1" applyAlignment="1">
      <alignment horizontal="left" vertical="top" wrapText="1"/>
    </xf>
    <xf numFmtId="0" fontId="16" fillId="36" borderId="23" xfId="55" applyFont="1" applyFill="1" applyBorder="1" applyAlignment="1">
      <alignment horizontal="left"/>
      <protection/>
    </xf>
    <xf numFmtId="0" fontId="16" fillId="36" borderId="19" xfId="55" applyFont="1" applyFill="1" applyBorder="1" applyAlignment="1">
      <alignment horizontal="left"/>
      <protection/>
    </xf>
    <xf numFmtId="0" fontId="16" fillId="36" borderId="11" xfId="55" applyFont="1" applyFill="1" applyBorder="1" applyAlignment="1">
      <alignment horizontal="left"/>
      <protection/>
    </xf>
    <xf numFmtId="49" fontId="73" fillId="36" borderId="23" xfId="54" applyNumberFormat="1" applyFont="1" applyFill="1" applyBorder="1" applyAlignment="1">
      <alignment horizontal="center" vertical="center" wrapText="1"/>
      <protection/>
    </xf>
    <xf numFmtId="49" fontId="73" fillId="36" borderId="19" xfId="54" applyNumberFormat="1" applyFont="1" applyFill="1" applyBorder="1" applyAlignment="1">
      <alignment horizontal="center" vertical="center" wrapText="1"/>
      <protection/>
    </xf>
    <xf numFmtId="0" fontId="5" fillId="0" borderId="10" xfId="0" applyFont="1" applyFill="1" applyBorder="1" applyAlignment="1">
      <alignment horizontal="center" vertical="center"/>
    </xf>
    <xf numFmtId="0" fontId="5" fillId="0" borderId="10" xfId="0" applyFont="1" applyFill="1" applyBorder="1" applyAlignment="1">
      <alignment horizontal="center" vertical="justify" wrapText="1"/>
    </xf>
    <xf numFmtId="0" fontId="5" fillId="0" borderId="10" xfId="0" applyFont="1" applyFill="1" applyBorder="1" applyAlignment="1">
      <alignment horizontal="center" vertical="center" wrapText="1" readingOrder="1"/>
    </xf>
    <xf numFmtId="4" fontId="5" fillId="0" borderId="10" xfId="0" applyNumberFormat="1" applyFont="1" applyFill="1" applyBorder="1" applyAlignment="1">
      <alignment horizontal="center" vertical="center"/>
    </xf>
    <xf numFmtId="4" fontId="19" fillId="0" borderId="10" xfId="0" applyNumberFormat="1" applyFont="1" applyBorder="1" applyAlignment="1">
      <alignment horizontal="center" vertical="center"/>
    </xf>
    <xf numFmtId="10" fontId="6" fillId="0" borderId="12" xfId="0" applyNumberFormat="1" applyFont="1" applyBorder="1" applyAlignment="1">
      <alignment horizontal="center"/>
    </xf>
    <xf numFmtId="10" fontId="6" fillId="0" borderId="14" xfId="0" applyNumberFormat="1" applyFont="1" applyBorder="1" applyAlignment="1">
      <alignment horizontal="center"/>
    </xf>
    <xf numFmtId="0" fontId="6" fillId="0" borderId="23" xfId="0" applyFont="1" applyBorder="1" applyAlignment="1">
      <alignment horizontal="center"/>
    </xf>
    <xf numFmtId="0" fontId="7" fillId="0" borderId="11" xfId="0" applyFont="1" applyBorder="1" applyAlignment="1">
      <alignment horizontal="center"/>
    </xf>
    <xf numFmtId="1" fontId="10" fillId="0" borderId="20" xfId="53" applyNumberFormat="1" applyFont="1" applyBorder="1" applyAlignment="1">
      <alignment horizontal="left" vertical="top"/>
      <protection/>
    </xf>
    <xf numFmtId="4" fontId="6" fillId="0" borderId="12" xfId="0" applyNumberFormat="1" applyFont="1" applyBorder="1" applyAlignment="1">
      <alignment horizontal="center"/>
    </xf>
    <xf numFmtId="4" fontId="6" fillId="0" borderId="14" xfId="0" applyNumberFormat="1" applyFont="1" applyBorder="1" applyAlignment="1">
      <alignment horizontal="center"/>
    </xf>
    <xf numFmtId="0" fontId="6" fillId="33" borderId="24"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23" xfId="0" applyFont="1" applyFill="1" applyBorder="1" applyAlignment="1">
      <alignment horizontal="center"/>
    </xf>
    <xf numFmtId="0" fontId="23" fillId="0" borderId="12" xfId="55" applyFont="1" applyFill="1" applyBorder="1" applyAlignment="1">
      <alignment horizontal="center" vertical="center" wrapText="1"/>
      <protection/>
    </xf>
    <xf numFmtId="0" fontId="23" fillId="0" borderId="13" xfId="55" applyFont="1" applyFill="1" applyBorder="1" applyAlignment="1">
      <alignment horizontal="center" vertical="center" wrapText="1"/>
      <protection/>
    </xf>
    <xf numFmtId="4" fontId="75" fillId="0" borderId="18" xfId="55" applyNumberFormat="1" applyFont="1" applyFill="1" applyBorder="1" applyAlignment="1">
      <alignment horizontal="center" vertical="center" wrapText="1"/>
      <protection/>
    </xf>
    <xf numFmtId="4" fontId="75" fillId="0" borderId="0" xfId="55" applyNumberFormat="1" applyFont="1" applyFill="1" applyBorder="1" applyAlignment="1">
      <alignment horizontal="center" vertical="center" wrapText="1"/>
      <protection/>
    </xf>
    <xf numFmtId="4" fontId="6" fillId="33" borderId="23" xfId="0" applyNumberFormat="1" applyFont="1" applyFill="1" applyBorder="1" applyAlignment="1">
      <alignment horizontal="center" vertical="center"/>
    </xf>
    <xf numFmtId="4" fontId="6" fillId="33" borderId="11" xfId="0" applyNumberFormat="1" applyFont="1" applyFill="1" applyBorder="1" applyAlignment="1">
      <alignment horizontal="center" vertical="center"/>
    </xf>
    <xf numFmtId="44" fontId="20" fillId="0" borderId="17" xfId="52" applyNumberFormat="1" applyFont="1" applyBorder="1" applyAlignment="1">
      <alignment horizontal="center" vertical="center" wrapText="1" readingOrder="1"/>
      <protection/>
    </xf>
    <xf numFmtId="44" fontId="20" fillId="0" borderId="15" xfId="52" applyNumberFormat="1" applyFont="1" applyBorder="1" applyAlignment="1">
      <alignment horizontal="center" vertical="center" wrapText="1" readingOrder="1"/>
      <protection/>
    </xf>
    <xf numFmtId="44" fontId="20" fillId="0" borderId="18" xfId="52" applyNumberFormat="1" applyFont="1" applyBorder="1" applyAlignment="1">
      <alignment horizontal="center" vertical="center" wrapText="1" readingOrder="1"/>
      <protection/>
    </xf>
    <xf numFmtId="44" fontId="20" fillId="0" borderId="0" xfId="52" applyNumberFormat="1" applyFont="1" applyBorder="1" applyAlignment="1">
      <alignment horizontal="center" vertical="center" wrapText="1" readingOrder="1"/>
      <protection/>
    </xf>
    <xf numFmtId="4" fontId="16" fillId="0" borderId="18" xfId="52" applyNumberFormat="1" applyFont="1" applyFill="1" applyBorder="1" applyAlignment="1">
      <alignment horizontal="center" vertical="center" wrapText="1" readingOrder="1"/>
      <protection/>
    </xf>
    <xf numFmtId="4" fontId="16" fillId="0" borderId="0" xfId="52" applyNumberFormat="1" applyFont="1" applyFill="1" applyBorder="1" applyAlignment="1">
      <alignment horizontal="center" vertical="center" wrapText="1" readingOrder="1"/>
      <protection/>
    </xf>
    <xf numFmtId="0" fontId="16" fillId="0" borderId="18" xfId="55" applyFont="1" applyFill="1" applyBorder="1" applyAlignment="1">
      <alignment horizontal="center"/>
      <protection/>
    </xf>
    <xf numFmtId="0" fontId="16" fillId="0" borderId="0" xfId="55" applyFont="1" applyFill="1" applyBorder="1" applyAlignment="1">
      <alignment horizontal="center"/>
      <protection/>
    </xf>
    <xf numFmtId="4" fontId="75" fillId="0" borderId="18" xfId="52" applyNumberFormat="1" applyFont="1" applyFill="1" applyBorder="1" applyAlignment="1">
      <alignment horizontal="center" vertical="center" wrapText="1"/>
      <protection/>
    </xf>
    <xf numFmtId="4" fontId="75" fillId="0" borderId="0" xfId="52" applyNumberFormat="1" applyFont="1" applyFill="1" applyBorder="1" applyAlignment="1">
      <alignment horizontal="center" vertical="center" wrapText="1"/>
      <protection/>
    </xf>
    <xf numFmtId="0" fontId="10" fillId="0" borderId="10" xfId="53" applyFont="1" applyBorder="1" applyAlignment="1">
      <alignment horizontal="left" vertical="top"/>
      <protection/>
    </xf>
    <xf numFmtId="1" fontId="10" fillId="0" borderId="10" xfId="53" applyNumberFormat="1" applyFont="1" applyBorder="1" applyAlignment="1">
      <alignment horizontal="left" vertical="top"/>
      <protection/>
    </xf>
    <xf numFmtId="0" fontId="11" fillId="40" borderId="10" xfId="57" applyFont="1" applyFill="1" applyBorder="1" applyAlignment="1">
      <alignment horizontal="justify" vertical="top"/>
      <protection/>
    </xf>
    <xf numFmtId="0" fontId="12" fillId="0" borderId="0" xfId="0" applyFont="1" applyFill="1" applyBorder="1" applyAlignment="1">
      <alignment horizontal="justify" vertical="justify" wrapText="1"/>
    </xf>
    <xf numFmtId="0" fontId="12" fillId="0" borderId="0" xfId="0" applyFont="1" applyFill="1" applyBorder="1" applyAlignment="1">
      <alignment/>
    </xf>
    <xf numFmtId="4" fontId="12" fillId="0" borderId="0" xfId="57" applyNumberFormat="1" applyFont="1" applyFill="1" applyBorder="1" applyAlignment="1">
      <alignment horizontal="right" wrapText="1"/>
      <protection/>
    </xf>
    <xf numFmtId="0" fontId="12" fillId="0" borderId="0" xfId="57" applyFont="1" applyFill="1" applyBorder="1" applyAlignment="1">
      <alignment horizontal="justify" vertical="top"/>
      <protection/>
    </xf>
    <xf numFmtId="4" fontId="12" fillId="0" borderId="0" xfId="57" applyNumberFormat="1" applyFont="1" applyFill="1" applyBorder="1" applyAlignment="1">
      <alignment horizontal="center"/>
      <protection/>
    </xf>
    <xf numFmtId="177" fontId="12" fillId="0" borderId="0" xfId="57" applyNumberFormat="1" applyFont="1" applyFill="1" applyBorder="1" applyAlignment="1">
      <alignment/>
      <protection/>
    </xf>
    <xf numFmtId="4" fontId="12" fillId="0" borderId="0" xfId="57" applyNumberFormat="1" applyFont="1" applyFill="1" applyBorder="1" applyAlignment="1">
      <alignment/>
      <protection/>
    </xf>
    <xf numFmtId="4" fontId="19" fillId="0" borderId="10" xfId="0" applyNumberFormat="1" applyFont="1" applyFill="1" applyBorder="1" applyAlignment="1">
      <alignment horizontal="center" vertical="center"/>
    </xf>
    <xf numFmtId="0" fontId="44" fillId="0" borderId="0" xfId="0" applyFont="1" applyFill="1" applyBorder="1" applyAlignment="1">
      <alignment/>
    </xf>
    <xf numFmtId="0" fontId="19" fillId="0" borderId="10" xfId="0" applyFont="1" applyFill="1" applyBorder="1" applyAlignment="1">
      <alignment horizontal="center" vertical="center"/>
    </xf>
    <xf numFmtId="4" fontId="19" fillId="0" borderId="10" xfId="0" applyNumberFormat="1" applyFont="1" applyFill="1" applyBorder="1" applyAlignment="1">
      <alignment horizontal="center" vertical="center"/>
    </xf>
    <xf numFmtId="10" fontId="9" fillId="0" borderId="10" xfId="44" applyNumberFormat="1" applyFont="1" applyFill="1" applyBorder="1" applyAlignment="1">
      <alignment horizontal="right"/>
    </xf>
    <xf numFmtId="0" fontId="6" fillId="0" borderId="10" xfId="0" applyFont="1" applyFill="1" applyBorder="1" applyAlignment="1">
      <alignment horizontal="center" vertical="center"/>
    </xf>
    <xf numFmtId="49" fontId="7"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top" wrapText="1"/>
    </xf>
    <xf numFmtId="0" fontId="7" fillId="0" borderId="0" xfId="0" applyFont="1" applyFill="1" applyAlignment="1">
      <alignment/>
    </xf>
    <xf numFmtId="0" fontId="7" fillId="0" borderId="10" xfId="57" applyFont="1" applyFill="1" applyBorder="1" applyAlignment="1">
      <alignment horizontal="center" vertical="center"/>
      <protection/>
    </xf>
    <xf numFmtId="0" fontId="7" fillId="0" borderId="10" xfId="57" applyFont="1" applyFill="1" applyBorder="1" applyAlignment="1">
      <alignment horizontal="center" vertical="center" wrapText="1"/>
      <protection/>
    </xf>
    <xf numFmtId="0" fontId="7" fillId="0" borderId="10" xfId="57" applyFont="1" applyFill="1" applyBorder="1" applyAlignment="1">
      <alignment horizontal="justify" vertical="top" wrapText="1"/>
      <protection/>
    </xf>
    <xf numFmtId="4" fontId="7" fillId="0" borderId="10" xfId="57" applyNumberFormat="1" applyFont="1" applyFill="1" applyBorder="1" applyAlignment="1">
      <alignment horizontal="center" vertical="center"/>
      <protection/>
    </xf>
    <xf numFmtId="4" fontId="7" fillId="0" borderId="10" xfId="57" applyNumberFormat="1" applyFont="1" applyFill="1" applyBorder="1" applyAlignment="1">
      <alignment/>
      <protection/>
    </xf>
    <xf numFmtId="4" fontId="7" fillId="0" borderId="10" xfId="57" applyNumberFormat="1" applyFont="1" applyFill="1" applyBorder="1" applyAlignment="1">
      <alignment horizontal="right"/>
      <protection/>
    </xf>
    <xf numFmtId="4" fontId="7" fillId="0" borderId="10" xfId="0" applyNumberFormat="1" applyFont="1" applyFill="1" applyBorder="1" applyAlignment="1">
      <alignment horizontal="right"/>
    </xf>
    <xf numFmtId="0" fontId="7" fillId="0" borderId="0" xfId="0" applyFont="1" applyFill="1" applyBorder="1" applyAlignment="1">
      <alignment/>
    </xf>
    <xf numFmtId="4" fontId="7" fillId="0" borderId="0" xfId="0" applyNumberFormat="1" applyFont="1" applyFill="1" applyBorder="1" applyAlignment="1">
      <alignment horizontal="right" wrapText="1"/>
    </xf>
    <xf numFmtId="0" fontId="7"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right" vertical="justify" wrapText="1"/>
    </xf>
    <xf numFmtId="4" fontId="6" fillId="0" borderId="10" xfId="0" applyNumberFormat="1" applyFont="1" applyFill="1" applyBorder="1" applyAlignment="1">
      <alignment horizontal="right" wrapText="1"/>
    </xf>
    <xf numFmtId="49" fontId="49" fillId="0" borderId="10" xfId="0" applyNumberFormat="1" applyFont="1" applyFill="1" applyBorder="1" applyAlignment="1">
      <alignment horizontal="center"/>
    </xf>
    <xf numFmtId="0" fontId="8" fillId="0" borderId="10" xfId="0" applyFont="1" applyFill="1" applyBorder="1" applyAlignment="1">
      <alignment horizontal="left" vertical="justify" wrapText="1"/>
    </xf>
    <xf numFmtId="0" fontId="8" fillId="0" borderId="10" xfId="0" applyFont="1" applyFill="1" applyBorder="1" applyAlignment="1">
      <alignment horizontal="left" vertical="center" wrapText="1"/>
    </xf>
    <xf numFmtId="4" fontId="7" fillId="0" borderId="0" xfId="57" applyNumberFormat="1" applyFont="1" applyFill="1" applyBorder="1" applyAlignment="1">
      <alignment horizontal="right" wrapText="1"/>
      <protection/>
    </xf>
    <xf numFmtId="0" fontId="7" fillId="0" borderId="0" xfId="57" applyFont="1" applyFill="1" applyBorder="1" applyAlignment="1">
      <alignment horizontal="justify" vertical="top"/>
      <protection/>
    </xf>
    <xf numFmtId="4" fontId="7" fillId="0" borderId="0" xfId="57" applyNumberFormat="1" applyFont="1" applyFill="1" applyBorder="1" applyAlignment="1">
      <alignment horizontal="center"/>
      <protection/>
    </xf>
    <xf numFmtId="177" fontId="7" fillId="0" borderId="0" xfId="57" applyNumberFormat="1" applyFont="1" applyFill="1" applyBorder="1" applyAlignment="1">
      <alignment/>
      <protection/>
    </xf>
    <xf numFmtId="4" fontId="7" fillId="0" borderId="0" xfId="57" applyNumberFormat="1" applyFont="1" applyFill="1" applyBorder="1" applyAlignment="1">
      <alignment/>
      <protection/>
    </xf>
    <xf numFmtId="0" fontId="7" fillId="0" borderId="10" xfId="57" applyFont="1" applyFill="1" applyBorder="1" applyAlignment="1">
      <alignment horizontal="justify" vertical="top"/>
      <protection/>
    </xf>
    <xf numFmtId="0" fontId="7" fillId="0" borderId="10" xfId="0" applyFont="1" applyFill="1" applyBorder="1" applyAlignment="1">
      <alignment horizontal="justify" vertical="top" wrapText="1"/>
    </xf>
    <xf numFmtId="0" fontId="7" fillId="0" borderId="10" xfId="0" applyFont="1" applyFill="1" applyBorder="1" applyAlignment="1">
      <alignment horizontal="center"/>
    </xf>
    <xf numFmtId="0" fontId="8" fillId="0" borderId="10" xfId="0" applyFont="1" applyFill="1" applyBorder="1" applyAlignment="1">
      <alignment horizontal="right" vertical="justify" wrapText="1"/>
    </xf>
    <xf numFmtId="0" fontId="8" fillId="0" borderId="10" xfId="0" applyFont="1" applyFill="1" applyBorder="1" applyAlignment="1">
      <alignment horizontal="right" vertical="center" wrapText="1"/>
    </xf>
    <xf numFmtId="4" fontId="8" fillId="0" borderId="10" xfId="63" applyNumberFormat="1" applyFont="1" applyFill="1" applyBorder="1" applyAlignment="1">
      <alignment horizontal="right"/>
    </xf>
    <xf numFmtId="0" fontId="49" fillId="0" borderId="10" xfId="0" applyFont="1" applyFill="1" applyBorder="1" applyAlignment="1">
      <alignment horizontal="center" vertical="center" wrapText="1"/>
    </xf>
    <xf numFmtId="0" fontId="8" fillId="0" borderId="10" xfId="0" applyFont="1" applyFill="1" applyBorder="1" applyAlignment="1">
      <alignment horizontal="left"/>
    </xf>
    <xf numFmtId="4" fontId="9" fillId="0" borderId="10" xfId="0" applyNumberFormat="1" applyFont="1" applyFill="1" applyBorder="1" applyAlignment="1">
      <alignment horizontal="right"/>
    </xf>
    <xf numFmtId="4" fontId="7" fillId="0" borderId="0" xfId="57" applyNumberFormat="1" applyFont="1" applyFill="1" applyBorder="1" applyAlignment="1">
      <alignment horizontal="justify" vertical="top"/>
      <protection/>
    </xf>
    <xf numFmtId="0" fontId="7" fillId="0" borderId="10" xfId="0" applyFont="1" applyFill="1" applyBorder="1" applyAlignment="1">
      <alignment horizontal="center" vertical="center" wrapText="1"/>
    </xf>
    <xf numFmtId="0" fontId="7" fillId="0" borderId="10" xfId="0" applyFont="1" applyFill="1" applyBorder="1" applyAlignment="1">
      <alignment horizontal="justify" vertical="justify" wrapText="1"/>
    </xf>
    <xf numFmtId="2" fontId="7" fillId="0" borderId="10" xfId="0" applyNumberFormat="1" applyFont="1" applyFill="1" applyBorder="1" applyAlignment="1">
      <alignment horizontal="right"/>
    </xf>
    <xf numFmtId="0" fontId="7" fillId="0" borderId="10" xfId="0" applyFont="1" applyFill="1" applyBorder="1" applyAlignment="1">
      <alignment horizontal="justify" wrapText="1"/>
    </xf>
    <xf numFmtId="4" fontId="7" fillId="0" borderId="10" xfId="56" applyNumberFormat="1" applyFont="1" applyFill="1" applyBorder="1" applyAlignment="1">
      <alignment horizontal="center" vertical="center"/>
      <protection/>
    </xf>
    <xf numFmtId="4" fontId="7" fillId="0" borderId="10" xfId="0" applyNumberFormat="1" applyFont="1" applyFill="1" applyBorder="1" applyAlignment="1">
      <alignment/>
    </xf>
    <xf numFmtId="49" fontId="7" fillId="0" borderId="10" xfId="0" applyNumberFormat="1" applyFont="1" applyFill="1" applyBorder="1" applyAlignment="1">
      <alignment horizontal="center"/>
    </xf>
    <xf numFmtId="0" fontId="7" fillId="0" borderId="10" xfId="63" applyNumberFormat="1" applyFont="1" applyFill="1" applyBorder="1" applyAlignment="1">
      <alignment horizontal="justify" vertical="justify" wrapText="1"/>
    </xf>
    <xf numFmtId="174" fontId="7" fillId="0" borderId="10" xfId="63" applyFont="1" applyFill="1" applyBorder="1" applyAlignment="1">
      <alignment horizontal="center"/>
    </xf>
    <xf numFmtId="4" fontId="7" fillId="0" borderId="10" xfId="63" applyNumberFormat="1" applyFont="1" applyFill="1" applyBorder="1" applyAlignment="1">
      <alignment horizontal="right"/>
    </xf>
    <xf numFmtId="0" fontId="6" fillId="0" borderId="10" xfId="0" applyFont="1" applyFill="1" applyBorder="1" applyAlignment="1">
      <alignment horizontal="left" vertical="center"/>
    </xf>
    <xf numFmtId="0" fontId="79" fillId="0" borderId="10" xfId="0" applyFont="1" applyFill="1" applyBorder="1" applyAlignment="1">
      <alignment horizontal="center" vertical="center"/>
    </xf>
    <xf numFmtId="4" fontId="79" fillId="0" borderId="10" xfId="0" applyNumberFormat="1" applyFont="1" applyFill="1" applyBorder="1" applyAlignment="1">
      <alignment horizontal="right" vertical="center"/>
    </xf>
    <xf numFmtId="4" fontId="80" fillId="0" borderId="10" xfId="0" applyNumberFormat="1" applyFont="1" applyFill="1" applyBorder="1" applyAlignment="1">
      <alignment/>
    </xf>
    <xf numFmtId="0" fontId="7" fillId="0" borderId="10" xfId="0" applyFont="1" applyFill="1" applyBorder="1" applyAlignment="1" quotePrefix="1">
      <alignment horizontal="center" vertical="center" wrapText="1"/>
    </xf>
    <xf numFmtId="4" fontId="7" fillId="0" borderId="10" xfId="0" applyNumberFormat="1" applyFont="1" applyFill="1" applyBorder="1" applyAlignment="1">
      <alignment horizontal="center" vertical="center" wrapText="1"/>
    </xf>
    <xf numFmtId="4" fontId="7" fillId="0" borderId="10" xfId="0" applyNumberFormat="1" applyFont="1" applyFill="1" applyBorder="1" applyAlignment="1">
      <alignment horizontal="right" wrapText="1"/>
    </xf>
    <xf numFmtId="0" fontId="81" fillId="0" borderId="10" xfId="0" applyFont="1" applyFill="1" applyBorder="1" applyAlignment="1">
      <alignment horizontal="center" vertical="center"/>
    </xf>
    <xf numFmtId="0" fontId="81" fillId="0" borderId="10" xfId="0" applyFont="1" applyFill="1" applyBorder="1" applyAlignment="1">
      <alignment horizontal="center" vertical="justify" wrapText="1"/>
    </xf>
    <xf numFmtId="0" fontId="81" fillId="0" borderId="10" xfId="0" applyFont="1" applyFill="1" applyBorder="1" applyAlignment="1">
      <alignment horizontal="justify" vertical="justify" wrapText="1"/>
    </xf>
    <xf numFmtId="4" fontId="81" fillId="0" borderId="10" xfId="0" applyNumberFormat="1" applyFont="1" applyFill="1" applyBorder="1" applyAlignment="1">
      <alignment horizontal="center" vertical="center" wrapText="1"/>
    </xf>
    <xf numFmtId="4" fontId="81" fillId="0" borderId="10" xfId="0" applyNumberFormat="1" applyFont="1" applyFill="1" applyBorder="1" applyAlignment="1">
      <alignment horizontal="right" wrapText="1"/>
    </xf>
    <xf numFmtId="4" fontId="81" fillId="0" borderId="10" xfId="0" applyNumberFormat="1" applyFont="1" applyFill="1" applyBorder="1" applyAlignment="1">
      <alignment/>
    </xf>
    <xf numFmtId="4" fontId="81" fillId="0" borderId="10" xfId="57" applyNumberFormat="1" applyFont="1" applyFill="1" applyBorder="1" applyAlignment="1">
      <alignment horizontal="right"/>
      <protection/>
    </xf>
    <xf numFmtId="4" fontId="81" fillId="0" borderId="10" xfId="0" applyNumberFormat="1" applyFont="1" applyFill="1" applyBorder="1" applyAlignment="1">
      <alignment horizontal="right"/>
    </xf>
    <xf numFmtId="0" fontId="81" fillId="0" borderId="0" xfId="0" applyFont="1" applyFill="1" applyBorder="1" applyAlignment="1">
      <alignment/>
    </xf>
    <xf numFmtId="0" fontId="81" fillId="0" borderId="10" xfId="0" applyFont="1" applyFill="1" applyBorder="1" applyAlignment="1">
      <alignment horizontal="center" vertical="center" wrapText="1"/>
    </xf>
    <xf numFmtId="174" fontId="6" fillId="0" borderId="10" xfId="63" applyFont="1" applyFill="1" applyBorder="1" applyAlignment="1">
      <alignment horizontal="left" vertical="center"/>
    </xf>
    <xf numFmtId="174" fontId="6" fillId="0" borderId="10" xfId="63" applyFont="1" applyFill="1" applyBorder="1" applyAlignment="1">
      <alignment horizontal="center" vertical="center"/>
    </xf>
    <xf numFmtId="4" fontId="6" fillId="0" borderId="10" xfId="63" applyNumberFormat="1" applyFont="1" applyFill="1" applyBorder="1" applyAlignment="1">
      <alignment horizontal="left" vertical="center"/>
    </xf>
    <xf numFmtId="171" fontId="7" fillId="0" borderId="10" xfId="72" applyFont="1" applyFill="1" applyBorder="1" applyAlignment="1">
      <alignment horizontal="center" vertical="center"/>
    </xf>
    <xf numFmtId="0" fontId="6" fillId="0" borderId="10" xfId="0" applyFont="1" applyFill="1" applyBorder="1" applyAlignment="1">
      <alignment horizontal="left" vertical="justify" wrapText="1"/>
    </xf>
    <xf numFmtId="174" fontId="7" fillId="0" borderId="10" xfId="63" applyFont="1" applyFill="1" applyBorder="1" applyAlignment="1">
      <alignment horizontal="center" vertical="center"/>
    </xf>
    <xf numFmtId="3" fontId="7" fillId="0" borderId="10" xfId="57" applyNumberFormat="1" applyFont="1" applyFill="1" applyBorder="1" applyAlignment="1">
      <alignment horizontal="center" vertical="center" wrapText="1"/>
      <protection/>
    </xf>
    <xf numFmtId="4" fontId="6" fillId="0" borderId="10" xfId="0" applyNumberFormat="1" applyFont="1" applyFill="1" applyBorder="1" applyAlignment="1">
      <alignment horizontal="right"/>
    </xf>
    <xf numFmtId="0" fontId="7" fillId="0" borderId="10" xfId="0" applyFont="1" applyBorder="1" applyAlignment="1">
      <alignment horizontal="center" vertical="center"/>
    </xf>
    <xf numFmtId="0" fontId="7" fillId="0" borderId="0" xfId="0" applyFont="1" applyBorder="1" applyAlignment="1">
      <alignment/>
    </xf>
    <xf numFmtId="0" fontId="7" fillId="0" borderId="0" xfId="0" applyFont="1" applyAlignment="1">
      <alignment vertical="center"/>
    </xf>
    <xf numFmtId="0" fontId="9" fillId="0" borderId="0" xfId="0" applyFont="1" applyAlignment="1">
      <alignment horizontal="center" vertical="center" wrapText="1"/>
    </xf>
    <xf numFmtId="0" fontId="9" fillId="0" borderId="0" xfId="0" applyFont="1" applyAlignment="1">
      <alignment/>
    </xf>
    <xf numFmtId="0" fontId="9" fillId="0" borderId="0" xfId="0" applyFont="1" applyAlignment="1">
      <alignment horizontal="center" vertical="center"/>
    </xf>
    <xf numFmtId="4" fontId="9" fillId="0" borderId="0" xfId="0" applyNumberFormat="1" applyFont="1" applyAlignment="1">
      <alignment/>
    </xf>
    <xf numFmtId="4" fontId="6" fillId="34" borderId="16" xfId="44" applyNumberFormat="1" applyFont="1" applyFill="1" applyBorder="1" applyAlignment="1">
      <alignment horizontal="center"/>
    </xf>
    <xf numFmtId="4" fontId="6" fillId="34" borderId="24" xfId="44" applyNumberFormat="1" applyFont="1" applyFill="1" applyBorder="1" applyAlignment="1">
      <alignment horizontal="center"/>
    </xf>
    <xf numFmtId="4" fontId="6" fillId="34" borderId="20" xfId="44" applyNumberFormat="1" applyFont="1" applyFill="1" applyBorder="1" applyAlignment="1">
      <alignment horizontal="center"/>
    </xf>
  </cellXfs>
  <cellStyles count="6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Euro" xfId="44"/>
    <cellStyle name="Hyperlink" xfId="45"/>
    <cellStyle name="Followed Hyperlink" xfId="46"/>
    <cellStyle name="Incorreto" xfId="47"/>
    <cellStyle name="Currency" xfId="48"/>
    <cellStyle name="Currency [0]" xfId="49"/>
    <cellStyle name="Moeda 2" xfId="50"/>
    <cellStyle name="Neutra" xfId="51"/>
    <cellStyle name="Normal 2 3" xfId="52"/>
    <cellStyle name="Normal_CRONOGRAMA" xfId="53"/>
    <cellStyle name="Normal_P_Getulio Vargas" xfId="54"/>
    <cellStyle name="Normal_P_Getulio Vargas 2" xfId="55"/>
    <cellStyle name="Normal_QUADRAS" xfId="56"/>
    <cellStyle name="Normal_RUAS 3,4,7 e 8 R-1" xfId="57"/>
    <cellStyle name="Normal_RUAS 3,4,7 e 8 R-1 2" xfId="58"/>
    <cellStyle name="Nota" xfId="59"/>
    <cellStyle name="Percent" xfId="60"/>
    <cellStyle name="Saída" xfId="61"/>
    <cellStyle name="Comma [0]" xfId="62"/>
    <cellStyle name="Separador de milhares_Orçamento nº013-PRODEC V.Primavera" xfId="63"/>
    <cellStyle name="Texto de Aviso" xfId="64"/>
    <cellStyle name="Texto Explicativo" xfId="65"/>
    <cellStyle name="Título" xfId="66"/>
    <cellStyle name="Título 1" xfId="67"/>
    <cellStyle name="Título 2" xfId="68"/>
    <cellStyle name="Título 3" xfId="69"/>
    <cellStyle name="Título 4" xfId="70"/>
    <cellStyle name="Total" xfId="71"/>
    <cellStyle name="Comma" xfId="72"/>
    <cellStyle name="Vírgula 2"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0</xdr:row>
      <xdr:rowOff>333375</xdr:rowOff>
    </xdr:from>
    <xdr:to>
      <xdr:col>1</xdr:col>
      <xdr:colOff>1628775</xdr:colOff>
      <xdr:row>6</xdr:row>
      <xdr:rowOff>295275</xdr:rowOff>
    </xdr:to>
    <xdr:pic>
      <xdr:nvPicPr>
        <xdr:cNvPr id="1" name="Picture 2"/>
        <xdr:cNvPicPr preferRelativeResize="1">
          <a:picLocks noChangeAspect="1"/>
        </xdr:cNvPicPr>
      </xdr:nvPicPr>
      <xdr:blipFill>
        <a:blip r:embed="rId1"/>
        <a:stretch>
          <a:fillRect/>
        </a:stretch>
      </xdr:blipFill>
      <xdr:spPr>
        <a:xfrm>
          <a:off x="457200" y="333375"/>
          <a:ext cx="1628775" cy="2066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0</xdr:row>
      <xdr:rowOff>333375</xdr:rowOff>
    </xdr:from>
    <xdr:to>
      <xdr:col>1</xdr:col>
      <xdr:colOff>1628775</xdr:colOff>
      <xdr:row>6</xdr:row>
      <xdr:rowOff>295275</xdr:rowOff>
    </xdr:to>
    <xdr:pic>
      <xdr:nvPicPr>
        <xdr:cNvPr id="1" name="Picture 2"/>
        <xdr:cNvPicPr preferRelativeResize="1">
          <a:picLocks noChangeAspect="1"/>
        </xdr:cNvPicPr>
      </xdr:nvPicPr>
      <xdr:blipFill>
        <a:blip r:embed="rId1"/>
        <a:stretch>
          <a:fillRect/>
        </a:stretch>
      </xdr:blipFill>
      <xdr:spPr>
        <a:xfrm>
          <a:off x="542925" y="333375"/>
          <a:ext cx="1628775" cy="2066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542925</xdr:colOff>
      <xdr:row>0</xdr:row>
      <xdr:rowOff>38100</xdr:rowOff>
    </xdr:from>
    <xdr:to>
      <xdr:col>10</xdr:col>
      <xdr:colOff>581025</xdr:colOff>
      <xdr:row>7</xdr:row>
      <xdr:rowOff>304800</xdr:rowOff>
    </xdr:to>
    <xdr:pic>
      <xdr:nvPicPr>
        <xdr:cNvPr id="1" name="Picture 2"/>
        <xdr:cNvPicPr preferRelativeResize="1">
          <a:picLocks noChangeAspect="1"/>
        </xdr:cNvPicPr>
      </xdr:nvPicPr>
      <xdr:blipFill>
        <a:blip r:embed="rId1"/>
        <a:stretch>
          <a:fillRect/>
        </a:stretch>
      </xdr:blipFill>
      <xdr:spPr>
        <a:xfrm>
          <a:off x="8810625" y="38100"/>
          <a:ext cx="2171700" cy="2447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1271"/>
  <sheetViews>
    <sheetView view="pageBreakPreview" zoomScale="80" zoomScaleNormal="75" zoomScaleSheetLayoutView="80" zoomScalePageLayoutView="0" workbookViewId="0" topLeftCell="B1">
      <selection activeCell="H224" sqref="H224:I224"/>
    </sheetView>
  </sheetViews>
  <sheetFormatPr defaultColWidth="9.140625" defaultRowHeight="12.75"/>
  <cols>
    <col min="1" max="1" width="6.8515625" style="97" customWidth="1"/>
    <col min="2" max="2" width="24.57421875" style="96" customWidth="1"/>
    <col min="3" max="3" width="94.7109375" style="75" customWidth="1"/>
    <col min="4" max="4" width="10.57421875" style="115" customWidth="1"/>
    <col min="5" max="5" width="14.8515625" style="75" customWidth="1"/>
    <col min="6" max="6" width="24.57421875" style="75" bestFit="1" customWidth="1"/>
    <col min="7" max="7" width="17.7109375" style="75" bestFit="1" customWidth="1"/>
    <col min="8" max="8" width="17.421875" style="75" bestFit="1" customWidth="1"/>
    <col min="9" max="9" width="17.57421875" style="76" bestFit="1" customWidth="1"/>
    <col min="10" max="10" width="9.28125" style="21" bestFit="1" customWidth="1"/>
    <col min="11" max="11" width="10.28125" style="21" bestFit="1" customWidth="1"/>
    <col min="12" max="12" width="45.7109375" style="21" customWidth="1"/>
    <col min="13" max="16384" width="9.140625" style="21" customWidth="1"/>
  </cols>
  <sheetData>
    <row r="1" spans="1:10" s="398" customFormat="1" ht="26.25">
      <c r="A1" s="391"/>
      <c r="B1" s="392"/>
      <c r="C1" s="426" t="s">
        <v>913</v>
      </c>
      <c r="D1" s="426"/>
      <c r="E1" s="427"/>
      <c r="F1" s="393"/>
      <c r="G1" s="394"/>
      <c r="H1" s="395"/>
      <c r="I1" s="396"/>
      <c r="J1" s="397"/>
    </row>
    <row r="2" spans="1:10" s="398" customFormat="1" ht="26.25">
      <c r="A2" s="399"/>
      <c r="B2" s="400"/>
      <c r="C2" s="428" t="s">
        <v>914</v>
      </c>
      <c r="D2" s="428"/>
      <c r="E2" s="429"/>
      <c r="F2" s="401"/>
      <c r="G2" s="402"/>
      <c r="H2" s="403"/>
      <c r="I2" s="404"/>
      <c r="J2" s="397"/>
    </row>
    <row r="3" spans="1:10" s="398" customFormat="1" ht="26.25">
      <c r="A3" s="399"/>
      <c r="B3" s="400"/>
      <c r="C3" s="428" t="s">
        <v>915</v>
      </c>
      <c r="D3" s="428"/>
      <c r="E3" s="429"/>
      <c r="F3" s="430" t="s">
        <v>933</v>
      </c>
      <c r="G3" s="431"/>
      <c r="H3" s="431"/>
      <c r="I3" s="432"/>
      <c r="J3" s="397"/>
    </row>
    <row r="4" spans="1:10" s="398" customFormat="1" ht="18.75" customHeight="1">
      <c r="A4" s="399"/>
      <c r="B4" s="400"/>
      <c r="C4" s="433" t="s">
        <v>930</v>
      </c>
      <c r="D4" s="433"/>
      <c r="E4" s="434"/>
      <c r="F4" s="435" t="s">
        <v>934</v>
      </c>
      <c r="G4" s="436"/>
      <c r="H4" s="436"/>
      <c r="I4" s="437"/>
      <c r="J4" s="397"/>
    </row>
    <row r="5" spans="1:10" s="398" customFormat="1" ht="45" customHeight="1">
      <c r="A5" s="399"/>
      <c r="B5" s="400"/>
      <c r="C5" s="433" t="s">
        <v>932</v>
      </c>
      <c r="D5" s="433"/>
      <c r="E5" s="434"/>
      <c r="F5" s="438" t="s">
        <v>916</v>
      </c>
      <c r="G5" s="439"/>
      <c r="H5" s="439"/>
      <c r="I5" s="440"/>
      <c r="J5" s="397"/>
    </row>
    <row r="6" spans="1:10" s="398" customFormat="1" ht="23.25">
      <c r="A6" s="399"/>
      <c r="B6" s="400"/>
      <c r="C6" s="441" t="s">
        <v>917</v>
      </c>
      <c r="D6" s="441"/>
      <c r="E6" s="442"/>
      <c r="F6" s="443" t="s">
        <v>918</v>
      </c>
      <c r="G6" s="444"/>
      <c r="H6" s="444"/>
      <c r="I6" s="445"/>
      <c r="J6" s="397"/>
    </row>
    <row r="7" spans="1:10" s="398" customFormat="1" ht="23.25">
      <c r="A7" s="399"/>
      <c r="B7" s="400"/>
      <c r="C7" s="446" t="s">
        <v>919</v>
      </c>
      <c r="D7" s="446"/>
      <c r="E7" s="447"/>
      <c r="F7" s="443" t="s">
        <v>920</v>
      </c>
      <c r="G7" s="444"/>
      <c r="H7" s="444"/>
      <c r="I7" s="445"/>
      <c r="J7" s="397"/>
    </row>
    <row r="8" spans="1:10" s="398" customFormat="1" ht="20.25">
      <c r="A8" s="405"/>
      <c r="B8" s="406"/>
      <c r="C8" s="407"/>
      <c r="D8" s="408"/>
      <c r="E8" s="409"/>
      <c r="F8" s="449" t="s">
        <v>921</v>
      </c>
      <c r="G8" s="450"/>
      <c r="H8" s="450"/>
      <c r="I8" s="451"/>
      <c r="J8" s="397"/>
    </row>
    <row r="9" spans="1:9" s="397" customFormat="1" ht="18" customHeight="1">
      <c r="A9" s="452" t="s">
        <v>922</v>
      </c>
      <c r="B9" s="453"/>
      <c r="C9" s="453"/>
      <c r="D9" s="453"/>
      <c r="E9" s="453"/>
      <c r="F9" s="453"/>
      <c r="G9" s="453"/>
      <c r="H9" s="453"/>
      <c r="I9" s="453"/>
    </row>
    <row r="10" spans="1:9" s="397" customFormat="1" ht="18.75">
      <c r="A10" s="454" t="s">
        <v>140</v>
      </c>
      <c r="B10" s="455" t="s">
        <v>923</v>
      </c>
      <c r="C10" s="456" t="s">
        <v>147</v>
      </c>
      <c r="D10" s="454" t="s">
        <v>148</v>
      </c>
      <c r="E10" s="457" t="s">
        <v>149</v>
      </c>
      <c r="F10" s="458" t="s">
        <v>106</v>
      </c>
      <c r="G10" s="458"/>
      <c r="H10" s="458"/>
      <c r="I10" s="458"/>
    </row>
    <row r="11" spans="1:9" s="397" customFormat="1" ht="18.75">
      <c r="A11" s="454"/>
      <c r="B11" s="455"/>
      <c r="C11" s="456"/>
      <c r="D11" s="454"/>
      <c r="E11" s="457"/>
      <c r="F11" s="411" t="s">
        <v>492</v>
      </c>
      <c r="G11" s="411" t="s">
        <v>493</v>
      </c>
      <c r="H11" s="411" t="s">
        <v>494</v>
      </c>
      <c r="I11" s="410" t="s">
        <v>495</v>
      </c>
    </row>
    <row r="12" spans="1:9" ht="14.25" customHeight="1">
      <c r="A12" s="252" t="s">
        <v>491</v>
      </c>
      <c r="B12" s="89"/>
      <c r="C12" s="448" t="s">
        <v>152</v>
      </c>
      <c r="D12" s="448"/>
      <c r="E12" s="448"/>
      <c r="F12" s="448"/>
      <c r="G12" s="448"/>
      <c r="H12" s="448"/>
      <c r="I12" s="448"/>
    </row>
    <row r="13" spans="1:11" s="170" customFormat="1" ht="42.75">
      <c r="A13" s="259" t="s">
        <v>24</v>
      </c>
      <c r="B13" s="262" t="s">
        <v>385</v>
      </c>
      <c r="C13" s="265" t="s">
        <v>339</v>
      </c>
      <c r="D13" s="263" t="s">
        <v>142</v>
      </c>
      <c r="E13" s="264">
        <v>6</v>
      </c>
      <c r="F13" s="257">
        <f>TRUNC(G19,2)</f>
        <v>169.7</v>
      </c>
      <c r="G13" s="257">
        <f>TRUNC(F13*1.2882,2)</f>
        <v>218.6</v>
      </c>
      <c r="H13" s="257">
        <f>TRUNC(F13*E13,2)</f>
        <v>1018.2</v>
      </c>
      <c r="I13" s="258">
        <f>TRUNC(E13*G13,2)</f>
        <v>1311.6</v>
      </c>
      <c r="K13" s="171"/>
    </row>
    <row r="14" spans="1:11" s="77" customFormat="1" ht="28.5">
      <c r="A14" s="41"/>
      <c r="B14" s="57" t="s">
        <v>218</v>
      </c>
      <c r="C14" s="23" t="s">
        <v>217</v>
      </c>
      <c r="D14" s="105" t="s">
        <v>142</v>
      </c>
      <c r="E14" s="25">
        <v>1</v>
      </c>
      <c r="F14" s="26">
        <f>TRUNC(65.3234,2)</f>
        <v>65.32</v>
      </c>
      <c r="G14" s="26">
        <f>TRUNC(E14*F14,2)</f>
        <v>65.32</v>
      </c>
      <c r="H14" s="26"/>
      <c r="I14" s="27"/>
      <c r="K14" s="37"/>
    </row>
    <row r="15" spans="1:11" s="77" customFormat="1" ht="28.5">
      <c r="A15" s="41"/>
      <c r="B15" s="57" t="s">
        <v>144</v>
      </c>
      <c r="C15" s="23" t="s">
        <v>215</v>
      </c>
      <c r="D15" s="105" t="s">
        <v>214</v>
      </c>
      <c r="E15" s="25">
        <v>0.3</v>
      </c>
      <c r="F15" s="26">
        <f>TRUNC(8.55,2)</f>
        <v>8.55</v>
      </c>
      <c r="G15" s="26">
        <f>TRUNC(E15*F15,2)</f>
        <v>2.56</v>
      </c>
      <c r="H15" s="26"/>
      <c r="I15" s="27"/>
      <c r="K15" s="37"/>
    </row>
    <row r="16" spans="1:11" s="77" customFormat="1" ht="14.25">
      <c r="A16" s="41"/>
      <c r="B16" s="57" t="s">
        <v>143</v>
      </c>
      <c r="C16" s="23" t="s">
        <v>531</v>
      </c>
      <c r="D16" s="105" t="s">
        <v>141</v>
      </c>
      <c r="E16" s="25">
        <v>9.2</v>
      </c>
      <c r="F16" s="26">
        <f>TRUNC(3.796,2)</f>
        <v>3.79</v>
      </c>
      <c r="G16" s="26">
        <f>TRUNC(E16*F16,2)</f>
        <v>34.86</v>
      </c>
      <c r="H16" s="26"/>
      <c r="I16" s="27"/>
      <c r="K16" s="37"/>
    </row>
    <row r="17" spans="1:11" s="77" customFormat="1" ht="28.5">
      <c r="A17" s="41"/>
      <c r="B17" s="57" t="s">
        <v>386</v>
      </c>
      <c r="C17" s="23" t="s">
        <v>387</v>
      </c>
      <c r="D17" s="105" t="s">
        <v>45</v>
      </c>
      <c r="E17" s="25">
        <v>2.06</v>
      </c>
      <c r="F17" s="26">
        <f>TRUNC(13.08,2)</f>
        <v>13.08</v>
      </c>
      <c r="G17" s="26">
        <f>TRUNC(E17*F17,2)</f>
        <v>26.94</v>
      </c>
      <c r="H17" s="26"/>
      <c r="I17" s="27"/>
      <c r="K17" s="37"/>
    </row>
    <row r="18" spans="1:11" s="77" customFormat="1" ht="28.5">
      <c r="A18" s="41"/>
      <c r="B18" s="57" t="s">
        <v>388</v>
      </c>
      <c r="C18" s="23" t="s">
        <v>389</v>
      </c>
      <c r="D18" s="105" t="s">
        <v>45</v>
      </c>
      <c r="E18" s="25">
        <v>2.06</v>
      </c>
      <c r="F18" s="26">
        <f>TRUNC(19.43,2)</f>
        <v>19.43</v>
      </c>
      <c r="G18" s="26">
        <f>TRUNC(E18*F18,2)</f>
        <v>40.02</v>
      </c>
      <c r="H18" s="26"/>
      <c r="I18" s="27"/>
      <c r="K18" s="37"/>
    </row>
    <row r="19" spans="1:11" s="77" customFormat="1" ht="14.25">
      <c r="A19" s="41"/>
      <c r="B19" s="57"/>
      <c r="C19" s="23"/>
      <c r="D19" s="105"/>
      <c r="E19" s="25" t="s">
        <v>150</v>
      </c>
      <c r="F19" s="26"/>
      <c r="G19" s="26">
        <f>TRUNC(SUM(G14:G18),2)</f>
        <v>169.7</v>
      </c>
      <c r="H19" s="26"/>
      <c r="I19" s="27"/>
      <c r="K19" s="37"/>
    </row>
    <row r="20" spans="1:11" s="170" customFormat="1" ht="71.25">
      <c r="A20" s="259" t="s">
        <v>25</v>
      </c>
      <c r="B20" s="262" t="s">
        <v>390</v>
      </c>
      <c r="C20" s="265" t="s">
        <v>532</v>
      </c>
      <c r="D20" s="263" t="s">
        <v>142</v>
      </c>
      <c r="E20" s="264">
        <v>67.94</v>
      </c>
      <c r="F20" s="257">
        <f>TRUNC(36.53174,2)</f>
        <v>36.53</v>
      </c>
      <c r="G20" s="257">
        <f>TRUNC(F20*1.2882,2)</f>
        <v>47.05</v>
      </c>
      <c r="H20" s="257">
        <f>TRUNC(F20*E20,2)</f>
        <v>2481.84</v>
      </c>
      <c r="I20" s="258">
        <f>TRUNC(E20*G20,2)</f>
        <v>3196.57</v>
      </c>
      <c r="K20" s="171"/>
    </row>
    <row r="21" spans="1:11" s="77" customFormat="1" ht="28.5">
      <c r="A21" s="41"/>
      <c r="B21" s="57" t="s">
        <v>144</v>
      </c>
      <c r="C21" s="172" t="s">
        <v>215</v>
      </c>
      <c r="D21" s="105" t="s">
        <v>214</v>
      </c>
      <c r="E21" s="26">
        <v>0.07</v>
      </c>
      <c r="F21" s="26">
        <f>TRUNC(8.55,2)</f>
        <v>8.55</v>
      </c>
      <c r="G21" s="26">
        <f>TRUNC(E21*F21,2)</f>
        <v>0.59</v>
      </c>
      <c r="H21" s="26"/>
      <c r="I21" s="27"/>
      <c r="K21" s="37"/>
    </row>
    <row r="22" spans="1:11" s="77" customFormat="1" ht="14.25">
      <c r="A22" s="41"/>
      <c r="B22" s="57" t="s">
        <v>143</v>
      </c>
      <c r="C22" s="172" t="s">
        <v>531</v>
      </c>
      <c r="D22" s="105" t="s">
        <v>141</v>
      </c>
      <c r="E22" s="26">
        <v>1.25</v>
      </c>
      <c r="F22" s="26">
        <f>TRUNC(3.796,2)</f>
        <v>3.79</v>
      </c>
      <c r="G22" s="26">
        <f>TRUNC(E22*F22,2)</f>
        <v>4.73</v>
      </c>
      <c r="H22" s="26"/>
      <c r="I22" s="27"/>
      <c r="K22" s="37"/>
    </row>
    <row r="23" spans="1:11" s="77" customFormat="1" ht="14.25">
      <c r="A23" s="41"/>
      <c r="B23" s="57" t="s">
        <v>220</v>
      </c>
      <c r="C23" s="172" t="s">
        <v>219</v>
      </c>
      <c r="D23" s="105" t="s">
        <v>142</v>
      </c>
      <c r="E23" s="26">
        <v>0.55</v>
      </c>
      <c r="F23" s="26">
        <f>TRUNC(8,2)</f>
        <v>8</v>
      </c>
      <c r="G23" s="26">
        <f>TRUNC(E23*F23,2)</f>
        <v>4.4</v>
      </c>
      <c r="H23" s="26"/>
      <c r="I23" s="27"/>
      <c r="K23" s="37"/>
    </row>
    <row r="24" spans="1:11" s="77" customFormat="1" ht="28.5">
      <c r="A24" s="41"/>
      <c r="B24" s="57" t="s">
        <v>386</v>
      </c>
      <c r="C24" s="172" t="s">
        <v>387</v>
      </c>
      <c r="D24" s="105" t="s">
        <v>45</v>
      </c>
      <c r="E24" s="26">
        <v>0.8240000000000001</v>
      </c>
      <c r="F24" s="26">
        <f>TRUNC(13.08,2)</f>
        <v>13.08</v>
      </c>
      <c r="G24" s="26">
        <f>TRUNC(E24*F24,2)</f>
        <v>10.77</v>
      </c>
      <c r="H24" s="26"/>
      <c r="I24" s="27"/>
      <c r="K24" s="37"/>
    </row>
    <row r="25" spans="1:11" s="77" customFormat="1" ht="28.5">
      <c r="A25" s="41"/>
      <c r="B25" s="57" t="s">
        <v>388</v>
      </c>
      <c r="C25" s="172" t="s">
        <v>389</v>
      </c>
      <c r="D25" s="105" t="s">
        <v>45</v>
      </c>
      <c r="E25" s="26">
        <v>0.8240000000000001</v>
      </c>
      <c r="F25" s="26">
        <f>TRUNC(19.43,2)</f>
        <v>19.43</v>
      </c>
      <c r="G25" s="26">
        <f>TRUNC(E25*F25,2)</f>
        <v>16.01</v>
      </c>
      <c r="H25" s="26"/>
      <c r="I25" s="27"/>
      <c r="K25" s="37"/>
    </row>
    <row r="26" spans="1:11" s="77" customFormat="1" ht="14.25">
      <c r="A26" s="41"/>
      <c r="B26" s="57"/>
      <c r="C26" s="172"/>
      <c r="D26" s="105"/>
      <c r="E26" s="26" t="s">
        <v>150</v>
      </c>
      <c r="F26" s="26"/>
      <c r="G26" s="26">
        <f>TRUNC(SUM(G21:G25),2)</f>
        <v>36.5</v>
      </c>
      <c r="H26" s="26"/>
      <c r="I26" s="27"/>
      <c r="K26" s="37"/>
    </row>
    <row r="27" spans="1:11" s="170" customFormat="1" ht="28.5">
      <c r="A27" s="259" t="s">
        <v>73</v>
      </c>
      <c r="B27" s="262" t="s">
        <v>490</v>
      </c>
      <c r="C27" s="265" t="s">
        <v>489</v>
      </c>
      <c r="D27" s="263" t="s">
        <v>142</v>
      </c>
      <c r="E27" s="264">
        <v>62.85</v>
      </c>
      <c r="F27" s="257">
        <f>TRUNC(G29,2)</f>
        <v>12.91</v>
      </c>
      <c r="G27" s="257">
        <f>TRUNC(F27*1.2882,2)</f>
        <v>16.63</v>
      </c>
      <c r="H27" s="257">
        <f>TRUNC(F27*E27,2)</f>
        <v>811.39</v>
      </c>
      <c r="I27" s="258">
        <f>TRUNC(E27*G27,2)</f>
        <v>1045.19</v>
      </c>
      <c r="K27" s="171"/>
    </row>
    <row r="28" spans="1:16" s="77" customFormat="1" ht="28.5">
      <c r="A28" s="35"/>
      <c r="B28" s="85" t="s">
        <v>386</v>
      </c>
      <c r="C28" s="44" t="s">
        <v>387</v>
      </c>
      <c r="D28" s="35" t="s">
        <v>45</v>
      </c>
      <c r="E28" s="27">
        <v>1.03</v>
      </c>
      <c r="F28" s="26">
        <v>12.54</v>
      </c>
      <c r="G28" s="26">
        <f>TRUNC((E28*F28),2)</f>
        <v>12.91</v>
      </c>
      <c r="H28" s="26"/>
      <c r="I28" s="27"/>
      <c r="K28" s="78"/>
      <c r="L28" s="79"/>
      <c r="M28" s="24"/>
      <c r="N28" s="80"/>
      <c r="O28" s="25"/>
      <c r="P28" s="25"/>
    </row>
    <row r="29" spans="1:16" s="77" customFormat="1" ht="14.25">
      <c r="A29" s="35"/>
      <c r="B29" s="85"/>
      <c r="C29" s="44"/>
      <c r="D29" s="35"/>
      <c r="E29" s="27" t="s">
        <v>150</v>
      </c>
      <c r="F29" s="26"/>
      <c r="G29" s="26">
        <f>SUM(G28)</f>
        <v>12.91</v>
      </c>
      <c r="H29" s="26"/>
      <c r="I29" s="27"/>
      <c r="K29" s="78"/>
      <c r="L29" s="79"/>
      <c r="M29" s="24"/>
      <c r="N29" s="80"/>
      <c r="O29" s="25"/>
      <c r="P29" s="25"/>
    </row>
    <row r="30" spans="1:11" s="170" customFormat="1" ht="42.75">
      <c r="A30" s="259" t="s">
        <v>19</v>
      </c>
      <c r="B30" s="262" t="s">
        <v>714</v>
      </c>
      <c r="C30" s="265" t="s">
        <v>715</v>
      </c>
      <c r="D30" s="263" t="s">
        <v>43</v>
      </c>
      <c r="E30" s="264">
        <v>32.32</v>
      </c>
      <c r="F30" s="257">
        <f>TRUNC(F31,2)</f>
        <v>68.98</v>
      </c>
      <c r="G30" s="257">
        <f>TRUNC(F30*1.2882,2)</f>
        <v>88.86</v>
      </c>
      <c r="H30" s="257">
        <f>TRUNC(F30*E30,2)</f>
        <v>2229.43</v>
      </c>
      <c r="I30" s="258">
        <f>TRUNC(E30*G30,2)</f>
        <v>2871.95</v>
      </c>
      <c r="J30" s="170">
        <f>E30*1.3</f>
        <v>42.016000000000005</v>
      </c>
      <c r="K30" s="171"/>
    </row>
    <row r="31" spans="1:16" s="77" customFormat="1" ht="42.75">
      <c r="A31" s="35"/>
      <c r="B31" s="85" t="s">
        <v>714</v>
      </c>
      <c r="C31" s="44" t="s">
        <v>715</v>
      </c>
      <c r="D31" s="35" t="s">
        <v>43</v>
      </c>
      <c r="E31" s="27">
        <v>1</v>
      </c>
      <c r="F31" s="26">
        <f>G34</f>
        <v>68.98</v>
      </c>
      <c r="G31" s="26">
        <f>TRUNC(E31*F31,2)</f>
        <v>68.98</v>
      </c>
      <c r="H31" s="26"/>
      <c r="I31" s="27"/>
      <c r="K31" s="78"/>
      <c r="L31" s="79"/>
      <c r="M31" s="24"/>
      <c r="N31" s="80"/>
      <c r="O31" s="25"/>
      <c r="P31" s="25"/>
    </row>
    <row r="32" spans="1:16" s="77" customFormat="1" ht="28.5">
      <c r="A32" s="35"/>
      <c r="B32" s="85" t="s">
        <v>386</v>
      </c>
      <c r="C32" s="44" t="s">
        <v>387</v>
      </c>
      <c r="D32" s="35" t="s">
        <v>45</v>
      </c>
      <c r="E32" s="27">
        <v>4.635</v>
      </c>
      <c r="F32" s="26">
        <f>TRUNC(13.08,2)</f>
        <v>13.08</v>
      </c>
      <c r="G32" s="26">
        <f>TRUNC(E32*F32,2)</f>
        <v>60.62</v>
      </c>
      <c r="H32" s="26"/>
      <c r="I32" s="27"/>
      <c r="K32" s="78"/>
      <c r="L32" s="79"/>
      <c r="M32" s="24"/>
      <c r="N32" s="80"/>
      <c r="O32" s="25"/>
      <c r="P32" s="25"/>
    </row>
    <row r="33" spans="1:16" s="77" customFormat="1" ht="14.25">
      <c r="A33" s="35"/>
      <c r="B33" s="85" t="s">
        <v>392</v>
      </c>
      <c r="C33" s="44" t="s">
        <v>393</v>
      </c>
      <c r="D33" s="35" t="s">
        <v>45</v>
      </c>
      <c r="E33" s="27">
        <v>0.4635</v>
      </c>
      <c r="F33" s="26">
        <f>TRUNC(18.05,2)</f>
        <v>18.05</v>
      </c>
      <c r="G33" s="26">
        <f>TRUNC(E33*F33,2)</f>
        <v>8.36</v>
      </c>
      <c r="H33" s="26"/>
      <c r="I33" s="27"/>
      <c r="K33" s="78"/>
      <c r="L33" s="79"/>
      <c r="M33" s="24"/>
      <c r="N33" s="80"/>
      <c r="O33" s="25"/>
      <c r="P33" s="25"/>
    </row>
    <row r="34" spans="1:16" s="77" customFormat="1" ht="14.25">
      <c r="A34" s="35"/>
      <c r="B34" s="85"/>
      <c r="C34" s="44"/>
      <c r="D34" s="35"/>
      <c r="E34" s="27" t="s">
        <v>150</v>
      </c>
      <c r="F34" s="26"/>
      <c r="G34" s="26">
        <f>TRUNC(SUM(G32:G33),2)</f>
        <v>68.98</v>
      </c>
      <c r="H34" s="26"/>
      <c r="I34" s="27"/>
      <c r="K34" s="78"/>
      <c r="L34" s="79"/>
      <c r="M34" s="24"/>
      <c r="N34" s="80"/>
      <c r="O34" s="25"/>
      <c r="P34" s="25"/>
    </row>
    <row r="35" spans="1:11" s="170" customFormat="1" ht="42.75">
      <c r="A35" s="259" t="s">
        <v>717</v>
      </c>
      <c r="B35" s="262" t="s">
        <v>719</v>
      </c>
      <c r="C35" s="265" t="s">
        <v>720</v>
      </c>
      <c r="D35" s="263" t="s">
        <v>43</v>
      </c>
      <c r="E35" s="264">
        <f>3*0.5*0.7</f>
        <v>1.0499999999999998</v>
      </c>
      <c r="F35" s="257">
        <f>TRUNC(F36,2)</f>
        <v>255</v>
      </c>
      <c r="G35" s="257">
        <f>TRUNC(F35*1.2882,2)</f>
        <v>328.49</v>
      </c>
      <c r="H35" s="257">
        <f>TRUNC(F35*E35,2)</f>
        <v>267.75</v>
      </c>
      <c r="I35" s="258">
        <f>TRUNC(E35*G35,2)</f>
        <v>344.91</v>
      </c>
      <c r="J35" s="170">
        <f>E35*2.4</f>
        <v>2.5199999999999996</v>
      </c>
      <c r="K35" s="171"/>
    </row>
    <row r="36" spans="1:16" s="77" customFormat="1" ht="42.75">
      <c r="A36" s="35"/>
      <c r="B36" s="85" t="s">
        <v>719</v>
      </c>
      <c r="C36" s="44" t="s">
        <v>720</v>
      </c>
      <c r="D36" s="35" t="s">
        <v>43</v>
      </c>
      <c r="E36" s="27">
        <v>1</v>
      </c>
      <c r="F36" s="26">
        <f>TRUNC(255.00328,2)</f>
        <v>255</v>
      </c>
      <c r="G36" s="26">
        <f>TRUNC(E36*F36,2)</f>
        <v>255</v>
      </c>
      <c r="H36" s="26"/>
      <c r="I36" s="27"/>
      <c r="K36" s="78"/>
      <c r="L36" s="79"/>
      <c r="M36" s="24"/>
      <c r="N36" s="80"/>
      <c r="O36" s="25"/>
      <c r="P36" s="25"/>
    </row>
    <row r="37" spans="1:16" s="77" customFormat="1" ht="28.5">
      <c r="A37" s="35"/>
      <c r="B37" s="85" t="s">
        <v>386</v>
      </c>
      <c r="C37" s="44" t="s">
        <v>387</v>
      </c>
      <c r="D37" s="35" t="s">
        <v>45</v>
      </c>
      <c r="E37" s="27">
        <v>11.536</v>
      </c>
      <c r="F37" s="26">
        <f>TRUNC(13.08,2)</f>
        <v>13.08</v>
      </c>
      <c r="G37" s="26">
        <f>TRUNC(E37*F37,2)</f>
        <v>150.89</v>
      </c>
      <c r="H37" s="26"/>
      <c r="I37" s="27"/>
      <c r="K37" s="78"/>
      <c r="L37" s="79"/>
      <c r="M37" s="24"/>
      <c r="N37" s="80"/>
      <c r="O37" s="25"/>
      <c r="P37" s="25"/>
    </row>
    <row r="38" spans="1:16" s="77" customFormat="1" ht="14.25">
      <c r="A38" s="35"/>
      <c r="B38" s="85" t="s">
        <v>392</v>
      </c>
      <c r="C38" s="44" t="s">
        <v>393</v>
      </c>
      <c r="D38" s="35" t="s">
        <v>45</v>
      </c>
      <c r="E38" s="27">
        <v>5.768</v>
      </c>
      <c r="F38" s="26">
        <f>TRUNC(18.05,2)</f>
        <v>18.05</v>
      </c>
      <c r="G38" s="26">
        <f>TRUNC(E38*F38,2)</f>
        <v>104.11</v>
      </c>
      <c r="H38" s="26"/>
      <c r="I38" s="27"/>
      <c r="K38" s="78"/>
      <c r="L38" s="79"/>
      <c r="M38" s="24"/>
      <c r="N38" s="80"/>
      <c r="O38" s="25"/>
      <c r="P38" s="25"/>
    </row>
    <row r="39" spans="1:16" s="77" customFormat="1" ht="14.25">
      <c r="A39" s="35"/>
      <c r="B39" s="85"/>
      <c r="C39" s="44"/>
      <c r="D39" s="35"/>
      <c r="E39" s="27" t="s">
        <v>150</v>
      </c>
      <c r="F39" s="26"/>
      <c r="G39" s="26">
        <f>TRUNC(SUM(G37:G38),2)</f>
        <v>255</v>
      </c>
      <c r="H39" s="26"/>
      <c r="I39" s="27"/>
      <c r="K39" s="78"/>
      <c r="L39" s="79"/>
      <c r="M39" s="24"/>
      <c r="N39" s="80"/>
      <c r="O39" s="25"/>
      <c r="P39" s="25"/>
    </row>
    <row r="40" spans="1:11" s="170" customFormat="1" ht="28.5">
      <c r="A40" s="259" t="s">
        <v>718</v>
      </c>
      <c r="B40" s="262" t="s">
        <v>721</v>
      </c>
      <c r="C40" s="265" t="s">
        <v>722</v>
      </c>
      <c r="D40" s="263" t="s">
        <v>148</v>
      </c>
      <c r="E40" s="264">
        <v>20</v>
      </c>
      <c r="F40" s="257">
        <f>TRUNC(F41,2)</f>
        <v>19.04</v>
      </c>
      <c r="G40" s="257">
        <f>TRUNC(F40*1.2882,2)</f>
        <v>24.52</v>
      </c>
      <c r="H40" s="257">
        <f>TRUNC(F40*E40,2)</f>
        <v>380.8</v>
      </c>
      <c r="I40" s="258">
        <f>TRUNC(E40*G40,2)</f>
        <v>490.4</v>
      </c>
      <c r="K40" s="171"/>
    </row>
    <row r="41" spans="1:16" s="77" customFormat="1" ht="28.5">
      <c r="A41" s="35"/>
      <c r="B41" s="85" t="s">
        <v>721</v>
      </c>
      <c r="C41" s="44" t="s">
        <v>722</v>
      </c>
      <c r="D41" s="35" t="s">
        <v>148</v>
      </c>
      <c r="E41" s="27">
        <v>1</v>
      </c>
      <c r="F41" s="26">
        <f>TRUNC(19.04985,2)</f>
        <v>19.04</v>
      </c>
      <c r="G41" s="26">
        <f>TRUNC(E41*F41,2)</f>
        <v>19.04</v>
      </c>
      <c r="H41" s="26"/>
      <c r="I41" s="27"/>
      <c r="K41" s="78"/>
      <c r="L41" s="79"/>
      <c r="M41" s="24"/>
      <c r="N41" s="80"/>
      <c r="O41" s="25"/>
      <c r="P41" s="25"/>
    </row>
    <row r="42" spans="1:16" s="77" customFormat="1" ht="28.5">
      <c r="A42" s="35"/>
      <c r="B42" s="85" t="s">
        <v>386</v>
      </c>
      <c r="C42" s="44" t="s">
        <v>387</v>
      </c>
      <c r="D42" s="35" t="s">
        <v>45</v>
      </c>
      <c r="E42" s="27">
        <v>1.03</v>
      </c>
      <c r="F42" s="26">
        <f>TRUNC(13.08,2)</f>
        <v>13.08</v>
      </c>
      <c r="G42" s="26">
        <f>TRUNC(E42*F42,2)</f>
        <v>13.47</v>
      </c>
      <c r="H42" s="26"/>
      <c r="I42" s="27"/>
      <c r="K42" s="78"/>
      <c r="L42" s="79"/>
      <c r="M42" s="24"/>
      <c r="N42" s="80"/>
      <c r="O42" s="25"/>
      <c r="P42" s="25"/>
    </row>
    <row r="43" spans="1:16" s="77" customFormat="1" ht="14.25">
      <c r="A43" s="35"/>
      <c r="B43" s="85" t="s">
        <v>392</v>
      </c>
      <c r="C43" s="44" t="s">
        <v>393</v>
      </c>
      <c r="D43" s="35" t="s">
        <v>45</v>
      </c>
      <c r="E43" s="27">
        <v>0.309</v>
      </c>
      <c r="F43" s="26">
        <f>TRUNC(18.05,2)</f>
        <v>18.05</v>
      </c>
      <c r="G43" s="26">
        <f>TRUNC(E43*F43,2)</f>
        <v>5.57</v>
      </c>
      <c r="H43" s="26"/>
      <c r="I43" s="27"/>
      <c r="K43" s="78"/>
      <c r="L43" s="79"/>
      <c r="M43" s="24"/>
      <c r="N43" s="80"/>
      <c r="O43" s="25"/>
      <c r="P43" s="25"/>
    </row>
    <row r="44" spans="1:16" s="77" customFormat="1" ht="14.25">
      <c r="A44" s="35"/>
      <c r="B44" s="85"/>
      <c r="C44" s="44"/>
      <c r="D44" s="35"/>
      <c r="E44" s="27" t="s">
        <v>150</v>
      </c>
      <c r="F44" s="26"/>
      <c r="G44" s="26">
        <f>TRUNC(SUM(G42:G43),2)</f>
        <v>19.04</v>
      </c>
      <c r="H44" s="26"/>
      <c r="I44" s="27"/>
      <c r="K44" s="78"/>
      <c r="L44" s="79"/>
      <c r="M44" s="24"/>
      <c r="N44" s="80"/>
      <c r="O44" s="25"/>
      <c r="P44" s="25"/>
    </row>
    <row r="45" spans="1:11" s="170" customFormat="1" ht="14.25">
      <c r="A45" s="259" t="s">
        <v>783</v>
      </c>
      <c r="B45" s="262" t="s">
        <v>784</v>
      </c>
      <c r="C45" s="265" t="s">
        <v>789</v>
      </c>
      <c r="D45" s="263" t="s">
        <v>148</v>
      </c>
      <c r="E45" s="264">
        <v>6</v>
      </c>
      <c r="F45" s="257">
        <f>TRUNC(F46,2)</f>
        <v>16.03</v>
      </c>
      <c r="G45" s="257">
        <f>TRUNC(F45*1.2882,2)</f>
        <v>20.64</v>
      </c>
      <c r="H45" s="257">
        <f>TRUNC(F45*E45,2)</f>
        <v>96.18</v>
      </c>
      <c r="I45" s="258">
        <f>TRUNC(E45*G45,2)</f>
        <v>123.84</v>
      </c>
      <c r="K45" s="171"/>
    </row>
    <row r="46" spans="1:16" s="77" customFormat="1" ht="28.5">
      <c r="A46" s="35"/>
      <c r="B46" s="85" t="s">
        <v>784</v>
      </c>
      <c r="C46" s="44" t="s">
        <v>785</v>
      </c>
      <c r="D46" s="35" t="s">
        <v>148</v>
      </c>
      <c r="E46" s="27">
        <v>1</v>
      </c>
      <c r="F46" s="26">
        <f>TRUNC(16.03195,2)</f>
        <v>16.03</v>
      </c>
      <c r="G46" s="26">
        <f>TRUNC(E46*F46,2)</f>
        <v>16.03</v>
      </c>
      <c r="H46" s="26"/>
      <c r="I46" s="27"/>
      <c r="K46" s="78"/>
      <c r="L46" s="79"/>
      <c r="M46" s="24"/>
      <c r="N46" s="80"/>
      <c r="O46" s="25"/>
      <c r="P46" s="25"/>
    </row>
    <row r="47" spans="1:16" s="77" customFormat="1" ht="28.5">
      <c r="A47" s="35"/>
      <c r="B47" s="85" t="s">
        <v>386</v>
      </c>
      <c r="C47" s="44" t="s">
        <v>387</v>
      </c>
      <c r="D47" s="35" t="s">
        <v>45</v>
      </c>
      <c r="E47" s="27">
        <v>0.515</v>
      </c>
      <c r="F47" s="26">
        <f>TRUNC(13.08,2)</f>
        <v>13.08</v>
      </c>
      <c r="G47" s="26">
        <f>TRUNC(E47*F47,2)</f>
        <v>6.73</v>
      </c>
      <c r="H47" s="26"/>
      <c r="I47" s="27"/>
      <c r="K47" s="78"/>
      <c r="L47" s="79"/>
      <c r="M47" s="24"/>
      <c r="N47" s="80"/>
      <c r="O47" s="25"/>
      <c r="P47" s="25"/>
    </row>
    <row r="48" spans="1:16" s="77" customFormat="1" ht="28.5">
      <c r="A48" s="35"/>
      <c r="B48" s="85" t="s">
        <v>408</v>
      </c>
      <c r="C48" s="44" t="s">
        <v>409</v>
      </c>
      <c r="D48" s="35" t="s">
        <v>45</v>
      </c>
      <c r="E48" s="27">
        <v>0.515</v>
      </c>
      <c r="F48" s="26">
        <f>TRUNC(18.05,2)</f>
        <v>18.05</v>
      </c>
      <c r="G48" s="26">
        <f>TRUNC(E48*F48,2)</f>
        <v>9.29</v>
      </c>
      <c r="H48" s="26"/>
      <c r="I48" s="27"/>
      <c r="K48" s="78"/>
      <c r="L48" s="79"/>
      <c r="M48" s="24"/>
      <c r="N48" s="80"/>
      <c r="O48" s="25"/>
      <c r="P48" s="25"/>
    </row>
    <row r="49" spans="1:16" s="77" customFormat="1" ht="14.25">
      <c r="A49" s="35"/>
      <c r="B49" s="85"/>
      <c r="C49" s="44"/>
      <c r="D49" s="35"/>
      <c r="E49" s="27" t="s">
        <v>150</v>
      </c>
      <c r="F49" s="26"/>
      <c r="G49" s="26">
        <f>TRUNC(SUM(G47:G48),2)</f>
        <v>16.02</v>
      </c>
      <c r="H49" s="26"/>
      <c r="I49" s="27"/>
      <c r="K49" s="78"/>
      <c r="L49" s="79"/>
      <c r="M49" s="24"/>
      <c r="N49" s="80"/>
      <c r="O49" s="25"/>
      <c r="P49" s="25"/>
    </row>
    <row r="50" spans="1:11" s="170" customFormat="1" ht="28.5">
      <c r="A50" s="259" t="s">
        <v>786</v>
      </c>
      <c r="B50" s="262" t="s">
        <v>787</v>
      </c>
      <c r="C50" s="265" t="s">
        <v>790</v>
      </c>
      <c r="D50" s="263" t="s">
        <v>141</v>
      </c>
      <c r="E50" s="264">
        <v>6.6</v>
      </c>
      <c r="F50" s="257">
        <f>TRUNC(F51,2)</f>
        <v>32.06</v>
      </c>
      <c r="G50" s="257">
        <f>TRUNC(F50*1.2882,2)</f>
        <v>41.29</v>
      </c>
      <c r="H50" s="257">
        <f>TRUNC(F50*E50,2)</f>
        <v>211.59</v>
      </c>
      <c r="I50" s="258">
        <f>TRUNC(E50*G50,2)</f>
        <v>272.51</v>
      </c>
      <c r="K50" s="171"/>
    </row>
    <row r="51" spans="1:16" s="77" customFormat="1" ht="28.5">
      <c r="A51" s="35"/>
      <c r="B51" s="85" t="s">
        <v>787</v>
      </c>
      <c r="C51" s="44" t="s">
        <v>788</v>
      </c>
      <c r="D51" s="35" t="s">
        <v>141</v>
      </c>
      <c r="E51" s="27">
        <v>1</v>
      </c>
      <c r="F51" s="26">
        <f>TRUNC(32.0639,2)</f>
        <v>32.06</v>
      </c>
      <c r="G51" s="26">
        <f>TRUNC(E51*F51,2)</f>
        <v>32.06</v>
      </c>
      <c r="H51" s="26"/>
      <c r="I51" s="27"/>
      <c r="K51" s="78"/>
      <c r="L51" s="79"/>
      <c r="M51" s="24"/>
      <c r="N51" s="80"/>
      <c r="O51" s="25"/>
      <c r="P51" s="25"/>
    </row>
    <row r="52" spans="1:16" s="77" customFormat="1" ht="28.5">
      <c r="A52" s="35"/>
      <c r="B52" s="85" t="s">
        <v>386</v>
      </c>
      <c r="C52" s="44" t="s">
        <v>387</v>
      </c>
      <c r="D52" s="35" t="s">
        <v>45</v>
      </c>
      <c r="E52" s="27">
        <v>1.03</v>
      </c>
      <c r="F52" s="26">
        <f>TRUNC(13.08,2)</f>
        <v>13.08</v>
      </c>
      <c r="G52" s="26">
        <f>TRUNC(E52*F52,2)</f>
        <v>13.47</v>
      </c>
      <c r="H52" s="26"/>
      <c r="I52" s="27"/>
      <c r="K52" s="78"/>
      <c r="L52" s="79"/>
      <c r="M52" s="24"/>
      <c r="N52" s="80"/>
      <c r="O52" s="25"/>
      <c r="P52" s="25"/>
    </row>
    <row r="53" spans="1:16" s="77" customFormat="1" ht="14.25">
      <c r="A53" s="35"/>
      <c r="B53" s="85" t="s">
        <v>392</v>
      </c>
      <c r="C53" s="44" t="s">
        <v>393</v>
      </c>
      <c r="D53" s="35" t="s">
        <v>45</v>
      </c>
      <c r="E53" s="27">
        <v>1.03</v>
      </c>
      <c r="F53" s="26">
        <f>TRUNC(18.05,2)</f>
        <v>18.05</v>
      </c>
      <c r="G53" s="26">
        <f>TRUNC(E53*F53,2)</f>
        <v>18.59</v>
      </c>
      <c r="H53" s="26"/>
      <c r="I53" s="27"/>
      <c r="K53" s="78"/>
      <c r="L53" s="79"/>
      <c r="M53" s="24"/>
      <c r="N53" s="80"/>
      <c r="O53" s="25"/>
      <c r="P53" s="25"/>
    </row>
    <row r="54" spans="1:16" s="77" customFormat="1" ht="14.25">
      <c r="A54" s="35"/>
      <c r="B54" s="85"/>
      <c r="C54" s="44"/>
      <c r="D54" s="35"/>
      <c r="E54" s="27" t="s">
        <v>150</v>
      </c>
      <c r="F54" s="26"/>
      <c r="G54" s="26">
        <f>TRUNC(SUM(G52:G53),2)</f>
        <v>32.06</v>
      </c>
      <c r="H54" s="26"/>
      <c r="I54" s="27"/>
      <c r="K54" s="78"/>
      <c r="L54" s="79"/>
      <c r="M54" s="24"/>
      <c r="N54" s="80"/>
      <c r="O54" s="25"/>
      <c r="P54" s="25"/>
    </row>
    <row r="55" spans="1:11" s="170" customFormat="1" ht="28.5">
      <c r="A55" s="259" t="s">
        <v>791</v>
      </c>
      <c r="B55" s="262" t="s">
        <v>792</v>
      </c>
      <c r="C55" s="265" t="s">
        <v>793</v>
      </c>
      <c r="D55" s="263" t="s">
        <v>148</v>
      </c>
      <c r="E55" s="264">
        <v>31</v>
      </c>
      <c r="F55" s="257">
        <f>TRUNC(F56,2)</f>
        <v>4.64</v>
      </c>
      <c r="G55" s="257">
        <f>TRUNC(F55*1.2882,2)</f>
        <v>5.97</v>
      </c>
      <c r="H55" s="257">
        <f>TRUNC(F55*E55,2)</f>
        <v>143.84</v>
      </c>
      <c r="I55" s="258">
        <f>TRUNC(E55*G55,2)</f>
        <v>185.07</v>
      </c>
      <c r="K55" s="171"/>
    </row>
    <row r="56" spans="1:16" s="77" customFormat="1" ht="28.5">
      <c r="A56" s="35"/>
      <c r="B56" s="85" t="s">
        <v>792</v>
      </c>
      <c r="C56" s="44" t="s">
        <v>793</v>
      </c>
      <c r="D56" s="35" t="s">
        <v>148</v>
      </c>
      <c r="E56" s="27">
        <v>1</v>
      </c>
      <c r="F56" s="26">
        <f>TRUNC(4.647875,2)</f>
        <v>4.64</v>
      </c>
      <c r="G56" s="26">
        <f>TRUNC(E56*F56,2)</f>
        <v>4.64</v>
      </c>
      <c r="H56" s="26"/>
      <c r="I56" s="27"/>
      <c r="K56" s="78"/>
      <c r="L56" s="79"/>
      <c r="M56" s="24"/>
      <c r="N56" s="80"/>
      <c r="O56" s="25"/>
      <c r="P56" s="25"/>
    </row>
    <row r="57" spans="1:16" s="77" customFormat="1" ht="28.5">
      <c r="A57" s="35"/>
      <c r="B57" s="85" t="s">
        <v>410</v>
      </c>
      <c r="C57" s="44" t="s">
        <v>411</v>
      </c>
      <c r="D57" s="35" t="s">
        <v>45</v>
      </c>
      <c r="E57" s="27">
        <v>0.2575</v>
      </c>
      <c r="F57" s="26">
        <f>TRUNC(18.05,2)</f>
        <v>18.05</v>
      </c>
      <c r="G57" s="26">
        <f>TRUNC(E57*F57,2)</f>
        <v>4.64</v>
      </c>
      <c r="H57" s="26"/>
      <c r="I57" s="27"/>
      <c r="K57" s="78"/>
      <c r="L57" s="79"/>
      <c r="M57" s="24"/>
      <c r="N57" s="80"/>
      <c r="O57" s="25"/>
      <c r="P57" s="25"/>
    </row>
    <row r="58" spans="1:16" s="77" customFormat="1" ht="14.25">
      <c r="A58" s="35"/>
      <c r="B58" s="85"/>
      <c r="C58" s="44"/>
      <c r="D58" s="35"/>
      <c r="E58" s="27" t="s">
        <v>150</v>
      </c>
      <c r="F58" s="26"/>
      <c r="G58" s="26">
        <f>TRUNC(SUM(G57:G57),2)</f>
        <v>4.64</v>
      </c>
      <c r="H58" s="26"/>
      <c r="I58" s="27"/>
      <c r="K58" s="78"/>
      <c r="L58" s="79"/>
      <c r="M58" s="24"/>
      <c r="N58" s="80"/>
      <c r="O58" s="25"/>
      <c r="P58" s="25"/>
    </row>
    <row r="59" spans="1:11" s="170" customFormat="1" ht="43.5">
      <c r="A59" s="259" t="s">
        <v>819</v>
      </c>
      <c r="B59" s="262" t="s">
        <v>820</v>
      </c>
      <c r="C59" s="265" t="s">
        <v>911</v>
      </c>
      <c r="D59" s="263" t="s">
        <v>142</v>
      </c>
      <c r="E59" s="264">
        <v>121.04</v>
      </c>
      <c r="F59" s="257">
        <f>TRUNC(F60,2)</f>
        <v>9.43</v>
      </c>
      <c r="G59" s="257">
        <f>TRUNC(F59*1.2882,2)</f>
        <v>12.14</v>
      </c>
      <c r="H59" s="257">
        <f>TRUNC(F59*E59,2)</f>
        <v>1141.4</v>
      </c>
      <c r="I59" s="258">
        <f>TRUNC(E59*G59,2)</f>
        <v>1469.42</v>
      </c>
      <c r="J59" s="390">
        <f>E59*0.1*2.2</f>
        <v>26.628800000000005</v>
      </c>
      <c r="K59" s="171"/>
    </row>
    <row r="60" spans="1:16" s="77" customFormat="1" ht="42.75">
      <c r="A60" s="35"/>
      <c r="B60" s="85" t="s">
        <v>820</v>
      </c>
      <c r="C60" s="44" t="s">
        <v>821</v>
      </c>
      <c r="D60" s="35" t="s">
        <v>142</v>
      </c>
      <c r="E60" s="27">
        <v>1</v>
      </c>
      <c r="F60" s="26">
        <f>G62</f>
        <v>9.43</v>
      </c>
      <c r="G60" s="26">
        <f>TRUNC(E60*F60,2)</f>
        <v>9.43</v>
      </c>
      <c r="H60" s="26"/>
      <c r="I60" s="27"/>
      <c r="K60" s="78"/>
      <c r="L60" s="79"/>
      <c r="M60" s="24"/>
      <c r="N60" s="80"/>
      <c r="O60" s="25"/>
      <c r="P60" s="25"/>
    </row>
    <row r="61" spans="1:16" s="77" customFormat="1" ht="28.5">
      <c r="A61" s="35"/>
      <c r="B61" s="85" t="s">
        <v>386</v>
      </c>
      <c r="C61" s="44" t="s">
        <v>387</v>
      </c>
      <c r="D61" s="35" t="s">
        <v>45</v>
      </c>
      <c r="E61" s="27">
        <v>0.721</v>
      </c>
      <c r="F61" s="26">
        <f>TRUNC(13.08,2)</f>
        <v>13.08</v>
      </c>
      <c r="G61" s="26">
        <f>TRUNC(E61*F61,2)</f>
        <v>9.43</v>
      </c>
      <c r="H61" s="26"/>
      <c r="I61" s="27"/>
      <c r="K61" s="78"/>
      <c r="L61" s="79"/>
      <c r="M61" s="24"/>
      <c r="N61" s="80"/>
      <c r="O61" s="25"/>
      <c r="P61" s="25"/>
    </row>
    <row r="62" spans="1:16" s="77" customFormat="1" ht="14.25">
      <c r="A62" s="35"/>
      <c r="B62" s="85"/>
      <c r="C62" s="44"/>
      <c r="D62" s="35"/>
      <c r="E62" s="27" t="s">
        <v>150</v>
      </c>
      <c r="F62" s="26"/>
      <c r="G62" s="26">
        <f>TRUNC(SUM(G61:G61),2)</f>
        <v>9.43</v>
      </c>
      <c r="H62" s="26"/>
      <c r="I62" s="27"/>
      <c r="K62" s="78"/>
      <c r="L62" s="79"/>
      <c r="M62" s="24"/>
      <c r="N62" s="80"/>
      <c r="O62" s="25"/>
      <c r="P62" s="25"/>
    </row>
    <row r="63" spans="1:11" s="170" customFormat="1" ht="42.75">
      <c r="A63" s="259" t="s">
        <v>989</v>
      </c>
      <c r="B63" s="262" t="s">
        <v>990</v>
      </c>
      <c r="C63" s="265" t="s">
        <v>991</v>
      </c>
      <c r="D63" s="263" t="s">
        <v>142</v>
      </c>
      <c r="E63" s="264">
        <v>95</v>
      </c>
      <c r="F63" s="257">
        <f>TRUNC(F64,2)</f>
        <v>11.69</v>
      </c>
      <c r="G63" s="257">
        <f>TRUNC(F63*1.2882,2)</f>
        <v>15.05</v>
      </c>
      <c r="H63" s="257">
        <f>TRUNC(F63*E63,2)</f>
        <v>1110.55</v>
      </c>
      <c r="I63" s="258">
        <f>TRUNC(E63*G63,2)</f>
        <v>1429.75</v>
      </c>
      <c r="J63" s="390"/>
      <c r="K63" s="171"/>
    </row>
    <row r="64" spans="1:16" s="77" customFormat="1" ht="42.75">
      <c r="A64" s="35"/>
      <c r="B64" s="85" t="s">
        <v>990</v>
      </c>
      <c r="C64" s="44" t="s">
        <v>991</v>
      </c>
      <c r="D64" s="35" t="s">
        <v>142</v>
      </c>
      <c r="E64" s="27">
        <v>1</v>
      </c>
      <c r="F64" s="26">
        <f>G67</f>
        <v>11.69</v>
      </c>
      <c r="G64" s="26">
        <f>TRUNC(E64*F64,2)</f>
        <v>11.69</v>
      </c>
      <c r="H64" s="26"/>
      <c r="I64" s="27"/>
      <c r="K64" s="78"/>
      <c r="L64" s="79"/>
      <c r="M64" s="24"/>
      <c r="N64" s="80"/>
      <c r="O64" s="25"/>
      <c r="P64" s="25"/>
    </row>
    <row r="65" spans="1:16" s="77" customFormat="1" ht="28.5">
      <c r="A65" s="35"/>
      <c r="B65" s="85" t="s">
        <v>386</v>
      </c>
      <c r="C65" s="44" t="s">
        <v>387</v>
      </c>
      <c r="D65" s="35" t="s">
        <v>45</v>
      </c>
      <c r="E65" s="27">
        <v>0.37595</v>
      </c>
      <c r="F65" s="26">
        <f>TRUNC(13.08,2)</f>
        <v>13.08</v>
      </c>
      <c r="G65" s="26">
        <f>TRUNC(E65*F65,2)</f>
        <v>4.91</v>
      </c>
      <c r="H65" s="26"/>
      <c r="I65" s="27"/>
      <c r="K65" s="78"/>
      <c r="L65" s="79"/>
      <c r="M65" s="24"/>
      <c r="N65" s="80"/>
      <c r="O65" s="25"/>
      <c r="P65" s="25"/>
    </row>
    <row r="66" spans="1:16" s="77" customFormat="1" ht="28.5">
      <c r="A66" s="35"/>
      <c r="B66" s="85" t="s">
        <v>426</v>
      </c>
      <c r="C66" s="44" t="s">
        <v>427</v>
      </c>
      <c r="D66" s="35" t="s">
        <v>45</v>
      </c>
      <c r="E66" s="27">
        <v>0.37595</v>
      </c>
      <c r="F66" s="26">
        <f>TRUNC(18.05,2)</f>
        <v>18.05</v>
      </c>
      <c r="G66" s="26">
        <f>TRUNC(E66*F66,2)</f>
        <v>6.78</v>
      </c>
      <c r="H66" s="26"/>
      <c r="I66" s="27"/>
      <c r="K66" s="78"/>
      <c r="L66" s="79"/>
      <c r="M66" s="24"/>
      <c r="N66" s="80"/>
      <c r="O66" s="25"/>
      <c r="P66" s="25"/>
    </row>
    <row r="67" spans="1:16" s="77" customFormat="1" ht="14.25">
      <c r="A67" s="35"/>
      <c r="B67" s="85"/>
      <c r="C67" s="44"/>
      <c r="D67" s="35"/>
      <c r="E67" s="27" t="s">
        <v>150</v>
      </c>
      <c r="F67" s="26"/>
      <c r="G67" s="26">
        <f>TRUNC(SUM(G65:G66),2)</f>
        <v>11.69</v>
      </c>
      <c r="H67" s="26"/>
      <c r="I67" s="27"/>
      <c r="K67" s="78"/>
      <c r="L67" s="79"/>
      <c r="M67" s="24"/>
      <c r="N67" s="80"/>
      <c r="O67" s="25"/>
      <c r="P67" s="25"/>
    </row>
    <row r="68" spans="1:9" s="22" customFormat="1" ht="15">
      <c r="A68" s="86" t="s">
        <v>491</v>
      </c>
      <c r="B68" s="82"/>
      <c r="C68" s="46" t="s">
        <v>153</v>
      </c>
      <c r="D68" s="112"/>
      <c r="E68" s="47"/>
      <c r="F68" s="48"/>
      <c r="G68" s="48"/>
      <c r="H68" s="49">
        <f>H13+H20+H27+H30+H35+H40+H45+H50+H55+H59+H63</f>
        <v>9892.970000000001</v>
      </c>
      <c r="I68" s="49">
        <f>I13+I20+I27+I30+I35+I40+I45+I50+I55+I59+I63</f>
        <v>12741.210000000001</v>
      </c>
    </row>
    <row r="69" spans="1:16" s="22" customFormat="1" ht="15">
      <c r="A69" s="116" t="s">
        <v>154</v>
      </c>
      <c r="B69" s="117"/>
      <c r="C69" s="118" t="s">
        <v>107</v>
      </c>
      <c r="D69" s="124"/>
      <c r="E69" s="118"/>
      <c r="F69" s="118"/>
      <c r="G69" s="118"/>
      <c r="H69" s="118"/>
      <c r="I69" s="118"/>
      <c r="K69" s="30"/>
      <c r="L69" s="31"/>
      <c r="M69" s="28"/>
      <c r="N69" s="32"/>
      <c r="O69" s="29"/>
      <c r="P69" s="29"/>
    </row>
    <row r="70" spans="1:16" s="22" customFormat="1" ht="42.75">
      <c r="A70" s="253" t="s">
        <v>949</v>
      </c>
      <c r="B70" s="262" t="s">
        <v>951</v>
      </c>
      <c r="C70" s="487" t="s">
        <v>952</v>
      </c>
      <c r="D70" s="263" t="s">
        <v>43</v>
      </c>
      <c r="E70" s="264">
        <v>46.55</v>
      </c>
      <c r="F70" s="257">
        <f>TRUNC(F71,2)</f>
        <v>45.8</v>
      </c>
      <c r="G70" s="257">
        <f>TRUNC(F70*1.2882,2)</f>
        <v>58.99</v>
      </c>
      <c r="H70" s="257">
        <f>TRUNC(F70*E70,2)</f>
        <v>2131.99</v>
      </c>
      <c r="I70" s="258">
        <f>TRUNC(E70*G70,2)</f>
        <v>2745.98</v>
      </c>
      <c r="K70" s="30"/>
      <c r="L70" s="31"/>
      <c r="M70" s="28"/>
      <c r="N70" s="32"/>
      <c r="O70" s="29"/>
      <c r="P70" s="29"/>
    </row>
    <row r="71" spans="1:16" s="77" customFormat="1" ht="42.75">
      <c r="A71" s="35"/>
      <c r="B71" s="85" t="s">
        <v>951</v>
      </c>
      <c r="C71" s="44" t="s">
        <v>952</v>
      </c>
      <c r="D71" s="35" t="s">
        <v>43</v>
      </c>
      <c r="E71" s="27">
        <v>1</v>
      </c>
      <c r="F71" s="26">
        <f>G73</f>
        <v>45.8</v>
      </c>
      <c r="G71" s="26">
        <f>TRUNC(E71*F71,2)</f>
        <v>45.8</v>
      </c>
      <c r="H71" s="26"/>
      <c r="I71" s="27"/>
      <c r="K71" s="78"/>
      <c r="L71" s="79"/>
      <c r="M71" s="24"/>
      <c r="N71" s="80"/>
      <c r="O71" s="25"/>
      <c r="P71" s="25"/>
    </row>
    <row r="72" spans="1:16" s="77" customFormat="1" ht="28.5">
      <c r="A72" s="35"/>
      <c r="B72" s="85" t="s">
        <v>386</v>
      </c>
      <c r="C72" s="44" t="s">
        <v>387</v>
      </c>
      <c r="D72" s="35" t="s">
        <v>45</v>
      </c>
      <c r="E72" s="27">
        <v>3.502</v>
      </c>
      <c r="F72" s="26">
        <f>TRUNC(13.08,2)</f>
        <v>13.08</v>
      </c>
      <c r="G72" s="26">
        <f>TRUNC(E72*F72,2)</f>
        <v>45.8</v>
      </c>
      <c r="H72" s="26"/>
      <c r="I72" s="27"/>
      <c r="K72" s="78"/>
      <c r="L72" s="79"/>
      <c r="M72" s="24"/>
      <c r="N72" s="80"/>
      <c r="O72" s="25"/>
      <c r="P72" s="25"/>
    </row>
    <row r="73" spans="1:16" s="77" customFormat="1" ht="14.25">
      <c r="A73" s="35"/>
      <c r="B73" s="85"/>
      <c r="C73" s="44"/>
      <c r="D73" s="35"/>
      <c r="E73" s="27" t="s">
        <v>150</v>
      </c>
      <c r="F73" s="26"/>
      <c r="G73" s="26">
        <f>TRUNC(SUM(G72:G72),2)</f>
        <v>45.8</v>
      </c>
      <c r="H73" s="26"/>
      <c r="I73" s="27"/>
      <c r="K73" s="78"/>
      <c r="L73" s="79"/>
      <c r="M73" s="24"/>
      <c r="N73" s="80"/>
      <c r="O73" s="25"/>
      <c r="P73" s="25"/>
    </row>
    <row r="74" spans="1:16" s="22" customFormat="1" ht="42.75">
      <c r="A74" s="253" t="s">
        <v>950</v>
      </c>
      <c r="B74" s="262" t="s">
        <v>953</v>
      </c>
      <c r="C74" s="487" t="s">
        <v>954</v>
      </c>
      <c r="D74" s="263" t="s">
        <v>43</v>
      </c>
      <c r="E74" s="264">
        <v>23.28</v>
      </c>
      <c r="F74" s="257">
        <f>TRUNC(F75,2)</f>
        <v>33.68</v>
      </c>
      <c r="G74" s="257">
        <f>TRUNC(F74*1.2882,2)</f>
        <v>43.38</v>
      </c>
      <c r="H74" s="257">
        <f>TRUNC(F74*E74,2)</f>
        <v>784.07</v>
      </c>
      <c r="I74" s="258">
        <f>TRUNC(E74*G74,2)</f>
        <v>1009.88</v>
      </c>
      <c r="J74" s="22">
        <f>(E70-E74)*1.3</f>
        <v>30.250999999999994</v>
      </c>
      <c r="K74" s="30"/>
      <c r="L74" s="31"/>
      <c r="M74" s="28"/>
      <c r="N74" s="32"/>
      <c r="O74" s="29"/>
      <c r="P74" s="29"/>
    </row>
    <row r="75" spans="1:16" s="77" customFormat="1" ht="42.75">
      <c r="A75" s="35"/>
      <c r="B75" s="85" t="s">
        <v>953</v>
      </c>
      <c r="C75" s="44" t="s">
        <v>954</v>
      </c>
      <c r="D75" s="35" t="s">
        <v>43</v>
      </c>
      <c r="E75" s="27">
        <v>1</v>
      </c>
      <c r="F75" s="26">
        <f>G77</f>
        <v>33.68</v>
      </c>
      <c r="G75" s="26">
        <f>TRUNC(E75*F75,2)</f>
        <v>33.68</v>
      </c>
      <c r="H75" s="26"/>
      <c r="I75" s="27"/>
      <c r="K75" s="78"/>
      <c r="L75" s="79"/>
      <c r="M75" s="24"/>
      <c r="N75" s="80"/>
      <c r="O75" s="25"/>
      <c r="P75" s="25"/>
    </row>
    <row r="76" spans="1:16" s="77" customFormat="1" ht="28.5">
      <c r="A76" s="35"/>
      <c r="B76" s="85" t="s">
        <v>386</v>
      </c>
      <c r="C76" s="44" t="s">
        <v>387</v>
      </c>
      <c r="D76" s="35" t="s">
        <v>45</v>
      </c>
      <c r="E76" s="27">
        <v>2.575</v>
      </c>
      <c r="F76" s="26">
        <f>TRUNC(13.08,2)</f>
        <v>13.08</v>
      </c>
      <c r="G76" s="26">
        <f>TRUNC(E76*F76,2)</f>
        <v>33.68</v>
      </c>
      <c r="H76" s="26"/>
      <c r="I76" s="27"/>
      <c r="K76" s="78"/>
      <c r="L76" s="79"/>
      <c r="M76" s="24"/>
      <c r="N76" s="80"/>
      <c r="O76" s="25"/>
      <c r="P76" s="25"/>
    </row>
    <row r="77" spans="1:16" s="77" customFormat="1" ht="14.25">
      <c r="A77" s="35"/>
      <c r="B77" s="85"/>
      <c r="C77" s="44"/>
      <c r="D77" s="35"/>
      <c r="E77" s="27" t="s">
        <v>150</v>
      </c>
      <c r="F77" s="26"/>
      <c r="G77" s="26">
        <f>TRUNC(SUM(G76:G76),2)</f>
        <v>33.68</v>
      </c>
      <c r="H77" s="26"/>
      <c r="I77" s="27"/>
      <c r="K77" s="78"/>
      <c r="L77" s="79"/>
      <c r="M77" s="24"/>
      <c r="N77" s="80"/>
      <c r="O77" s="25"/>
      <c r="P77" s="25"/>
    </row>
    <row r="78" spans="1:16" s="22" customFormat="1" ht="101.25">
      <c r="A78" s="253" t="s">
        <v>955</v>
      </c>
      <c r="B78" s="262" t="s">
        <v>981</v>
      </c>
      <c r="C78" s="487" t="s">
        <v>992</v>
      </c>
      <c r="D78" s="263" t="s">
        <v>43</v>
      </c>
      <c r="E78" s="264">
        <v>40.58</v>
      </c>
      <c r="F78" s="257">
        <f>TRUNC(F79,2)</f>
        <v>1674.33</v>
      </c>
      <c r="G78" s="257">
        <f>TRUNC(F78*1.2882,2)</f>
        <v>2156.87</v>
      </c>
      <c r="H78" s="257">
        <f>TRUNC(F78*E78,2)</f>
        <v>67944.31</v>
      </c>
      <c r="I78" s="258">
        <f>TRUNC(E78*G78,2)</f>
        <v>87525.78</v>
      </c>
      <c r="K78" s="30"/>
      <c r="L78" s="31"/>
      <c r="M78" s="28"/>
      <c r="N78" s="32"/>
      <c r="O78" s="29"/>
      <c r="P78" s="29"/>
    </row>
    <row r="79" spans="1:16" s="77" customFormat="1" ht="71.25">
      <c r="A79" s="35"/>
      <c r="B79" s="85" t="s">
        <v>956</v>
      </c>
      <c r="C79" s="44" t="s">
        <v>957</v>
      </c>
      <c r="D79" s="35" t="s">
        <v>43</v>
      </c>
      <c r="E79" s="27">
        <v>1</v>
      </c>
      <c r="F79" s="26">
        <f>G95</f>
        <v>1674.33</v>
      </c>
      <c r="G79" s="26">
        <f>TRUNC(E79*F79,2)</f>
        <v>1674.33</v>
      </c>
      <c r="H79" s="26"/>
      <c r="I79" s="27"/>
      <c r="K79" s="78"/>
      <c r="L79" s="79"/>
      <c r="M79" s="24"/>
      <c r="N79" s="80"/>
      <c r="O79" s="25"/>
      <c r="P79" s="25"/>
    </row>
    <row r="80" spans="1:16" s="489" customFormat="1" ht="15">
      <c r="A80" s="126"/>
      <c r="B80" s="127" t="s">
        <v>958</v>
      </c>
      <c r="C80" s="488" t="s">
        <v>959</v>
      </c>
      <c r="D80" s="126" t="s">
        <v>214</v>
      </c>
      <c r="E80" s="43">
        <f>165.55/40.58</f>
        <v>4.079595860029571</v>
      </c>
      <c r="F80" s="386">
        <f>TRUNC(5.0444,2)</f>
        <v>5.04</v>
      </c>
      <c r="G80" s="386">
        <f>TRUNC(E80*F80,2)</f>
        <v>20.56</v>
      </c>
      <c r="H80" s="386"/>
      <c r="I80" s="43"/>
      <c r="K80" s="490"/>
      <c r="L80" s="491"/>
      <c r="M80" s="492"/>
      <c r="N80" s="493"/>
      <c r="O80" s="494"/>
      <c r="P80" s="494"/>
    </row>
    <row r="81" spans="1:16" s="489" customFormat="1" ht="15">
      <c r="A81" s="126"/>
      <c r="B81" s="127" t="s">
        <v>943</v>
      </c>
      <c r="C81" s="488" t="s">
        <v>944</v>
      </c>
      <c r="D81" s="126" t="s">
        <v>214</v>
      </c>
      <c r="E81" s="43">
        <f>670.61/40.58</f>
        <v>16.525628388368656</v>
      </c>
      <c r="F81" s="386">
        <v>4.9414</v>
      </c>
      <c r="G81" s="386">
        <f>TRUNC(E81*F81,2)</f>
        <v>81.65</v>
      </c>
      <c r="H81" s="386"/>
      <c r="I81" s="43"/>
      <c r="K81" s="490"/>
      <c r="L81" s="491"/>
      <c r="M81" s="492"/>
      <c r="N81" s="493"/>
      <c r="O81" s="494"/>
      <c r="P81" s="494"/>
    </row>
    <row r="82" spans="1:16" s="489" customFormat="1" ht="15">
      <c r="A82" s="126"/>
      <c r="B82" s="127"/>
      <c r="C82" s="488" t="s">
        <v>980</v>
      </c>
      <c r="D82" s="126" t="s">
        <v>43</v>
      </c>
      <c r="E82" s="43">
        <v>1</v>
      </c>
      <c r="F82" s="386">
        <f>F96</f>
        <v>408.49</v>
      </c>
      <c r="G82" s="386">
        <f>TRUNC(E82*F82,2)</f>
        <v>408.49</v>
      </c>
      <c r="H82" s="386"/>
      <c r="I82" s="43"/>
      <c r="K82" s="490"/>
      <c r="L82" s="491"/>
      <c r="M82" s="492"/>
      <c r="N82" s="493"/>
      <c r="O82" s="494"/>
      <c r="P82" s="494"/>
    </row>
    <row r="83" spans="1:16" s="77" customFormat="1" ht="14.25">
      <c r="A83" s="35"/>
      <c r="B83" s="85" t="s">
        <v>960</v>
      </c>
      <c r="C83" s="44" t="s">
        <v>961</v>
      </c>
      <c r="D83" s="35" t="s">
        <v>214</v>
      </c>
      <c r="E83" s="27"/>
      <c r="F83" s="26">
        <f>TRUNC(4.7561,2)</f>
        <v>4.75</v>
      </c>
      <c r="G83" s="26">
        <f>TRUNC(E83*F83,2)</f>
        <v>0</v>
      </c>
      <c r="H83" s="26"/>
      <c r="I83" s="27"/>
      <c r="K83" s="78"/>
      <c r="L83" s="79"/>
      <c r="M83" s="24"/>
      <c r="N83" s="80"/>
      <c r="O83" s="25"/>
      <c r="P83" s="25"/>
    </row>
    <row r="84" spans="1:16" s="77" customFormat="1" ht="14.25">
      <c r="A84" s="35"/>
      <c r="B84" s="85" t="s">
        <v>962</v>
      </c>
      <c r="C84" s="44" t="s">
        <v>963</v>
      </c>
      <c r="D84" s="35" t="s">
        <v>214</v>
      </c>
      <c r="E84" s="27"/>
      <c r="F84" s="26">
        <f>TRUNC(4.6223,2)</f>
        <v>4.62</v>
      </c>
      <c r="G84" s="26">
        <f>TRUNC(E84*F84,2)</f>
        <v>0</v>
      </c>
      <c r="H84" s="26"/>
      <c r="I84" s="27"/>
      <c r="K84" s="78"/>
      <c r="L84" s="79"/>
      <c r="M84" s="24"/>
      <c r="N84" s="80"/>
      <c r="O84" s="25"/>
      <c r="P84" s="25"/>
    </row>
    <row r="85" spans="1:16" s="77" customFormat="1" ht="14.25">
      <c r="A85" s="35"/>
      <c r="B85" s="85" t="s">
        <v>964</v>
      </c>
      <c r="C85" s="44" t="s">
        <v>965</v>
      </c>
      <c r="D85" s="35" t="s">
        <v>214</v>
      </c>
      <c r="E85" s="27"/>
      <c r="F85" s="26">
        <f>TRUNC(4.6223,2)</f>
        <v>4.62</v>
      </c>
      <c r="G85" s="26">
        <f>TRUNC(E85*F85,2)</f>
        <v>0</v>
      </c>
      <c r="H85" s="26"/>
      <c r="I85" s="27"/>
      <c r="K85" s="78"/>
      <c r="L85" s="79"/>
      <c r="M85" s="24"/>
      <c r="N85" s="80"/>
      <c r="O85" s="25"/>
      <c r="P85" s="25"/>
    </row>
    <row r="86" spans="1:16" s="489" customFormat="1" ht="15">
      <c r="A86" s="126"/>
      <c r="B86" s="127" t="s">
        <v>966</v>
      </c>
      <c r="C86" s="488" t="s">
        <v>967</v>
      </c>
      <c r="D86" s="126" t="s">
        <v>214</v>
      </c>
      <c r="E86" s="43">
        <f>2445.8/40.58</f>
        <v>60.27106949236077</v>
      </c>
      <c r="F86" s="386">
        <f>TRUNC(4.8488,2)</f>
        <v>4.84</v>
      </c>
      <c r="G86" s="386">
        <f>TRUNC(E86*F86,2)</f>
        <v>291.71</v>
      </c>
      <c r="H86" s="386"/>
      <c r="I86" s="43"/>
      <c r="K86" s="490"/>
      <c r="L86" s="491"/>
      <c r="M86" s="492"/>
      <c r="N86" s="493"/>
      <c r="O86" s="494"/>
      <c r="P86" s="494"/>
    </row>
    <row r="87" spans="1:16" s="77" customFormat="1" ht="14.25">
      <c r="A87" s="35"/>
      <c r="B87" s="85" t="s">
        <v>968</v>
      </c>
      <c r="C87" s="44" t="s">
        <v>969</v>
      </c>
      <c r="D87" s="35" t="s">
        <v>214</v>
      </c>
      <c r="E87" s="27">
        <v>2.4</v>
      </c>
      <c r="F87" s="26">
        <f>TRUNC(6.4,2)</f>
        <v>6.4</v>
      </c>
      <c r="G87" s="26">
        <f>TRUNC(E87*F87,2)</f>
        <v>15.36</v>
      </c>
      <c r="H87" s="26"/>
      <c r="I87" s="27"/>
      <c r="K87" s="78"/>
      <c r="L87" s="79"/>
      <c r="M87" s="24"/>
      <c r="N87" s="80"/>
      <c r="O87" s="25"/>
      <c r="P87" s="25"/>
    </row>
    <row r="88" spans="1:16" s="77" customFormat="1" ht="28.5">
      <c r="A88" s="35"/>
      <c r="B88" s="85" t="s">
        <v>386</v>
      </c>
      <c r="C88" s="44" t="s">
        <v>387</v>
      </c>
      <c r="D88" s="35" t="s">
        <v>45</v>
      </c>
      <c r="E88" s="27">
        <v>11.360899999999999</v>
      </c>
      <c r="F88" s="26">
        <f>TRUNC(13.08,2)</f>
        <v>13.08</v>
      </c>
      <c r="G88" s="26">
        <f>TRUNC(E88*F88,2)</f>
        <v>148.6</v>
      </c>
      <c r="H88" s="26"/>
      <c r="I88" s="27"/>
      <c r="K88" s="78"/>
      <c r="L88" s="79"/>
      <c r="M88" s="24"/>
      <c r="N88" s="80"/>
      <c r="O88" s="25"/>
      <c r="P88" s="25"/>
    </row>
    <row r="89" spans="1:16" s="77" customFormat="1" ht="14.25">
      <c r="A89" s="35"/>
      <c r="B89" s="85" t="s">
        <v>392</v>
      </c>
      <c r="C89" s="44" t="s">
        <v>393</v>
      </c>
      <c r="D89" s="35" t="s">
        <v>45</v>
      </c>
      <c r="E89" s="27">
        <v>0.515</v>
      </c>
      <c r="F89" s="26">
        <f>TRUNC(18.05,2)</f>
        <v>18.05</v>
      </c>
      <c r="G89" s="26">
        <f>TRUNC(E89*F89,2)</f>
        <v>9.29</v>
      </c>
      <c r="H89" s="26"/>
      <c r="I89" s="27"/>
      <c r="K89" s="78"/>
      <c r="L89" s="79"/>
      <c r="M89" s="24"/>
      <c r="N89" s="80"/>
      <c r="O89" s="25"/>
      <c r="P89" s="25"/>
    </row>
    <row r="90" spans="1:16" s="77" customFormat="1" ht="28.5">
      <c r="A90" s="35"/>
      <c r="B90" s="85" t="s">
        <v>426</v>
      </c>
      <c r="C90" s="44" t="s">
        <v>427</v>
      </c>
      <c r="D90" s="35" t="s">
        <v>45</v>
      </c>
      <c r="E90" s="27">
        <v>0.515</v>
      </c>
      <c r="F90" s="26">
        <f>TRUNC(18.05,2)</f>
        <v>18.05</v>
      </c>
      <c r="G90" s="26">
        <f>TRUNC(E90*F90,2)</f>
        <v>9.29</v>
      </c>
      <c r="H90" s="26"/>
      <c r="I90" s="27"/>
      <c r="K90" s="78"/>
      <c r="L90" s="79"/>
      <c r="M90" s="24"/>
      <c r="N90" s="80"/>
      <c r="O90" s="25"/>
      <c r="P90" s="25"/>
    </row>
    <row r="91" spans="1:16" s="77" customFormat="1" ht="28.5">
      <c r="A91" s="35"/>
      <c r="B91" s="85" t="s">
        <v>945</v>
      </c>
      <c r="C91" s="44" t="s">
        <v>946</v>
      </c>
      <c r="D91" s="35" t="s">
        <v>45</v>
      </c>
      <c r="E91" s="27">
        <v>8.2709</v>
      </c>
      <c r="F91" s="26">
        <f>TRUNC(18.05,2)</f>
        <v>18.05</v>
      </c>
      <c r="G91" s="26">
        <f>TRUNC(E91*F91,2)</f>
        <v>149.28</v>
      </c>
      <c r="H91" s="26"/>
      <c r="I91" s="27"/>
      <c r="K91" s="78"/>
      <c r="L91" s="79"/>
      <c r="M91" s="24"/>
      <c r="N91" s="80"/>
      <c r="O91" s="25"/>
      <c r="P91" s="25"/>
    </row>
    <row r="92" spans="1:16" s="489" customFormat="1" ht="15">
      <c r="A92" s="126"/>
      <c r="B92" s="127" t="s">
        <v>970</v>
      </c>
      <c r="C92" s="488" t="s">
        <v>971</v>
      </c>
      <c r="D92" s="126" t="s">
        <v>142</v>
      </c>
      <c r="E92" s="43">
        <f>293.95/40.58</f>
        <v>7.243716116313455</v>
      </c>
      <c r="F92" s="386">
        <f>TRUNC(74.4863,2)</f>
        <v>74.48</v>
      </c>
      <c r="G92" s="386">
        <f>TRUNC(E92*F92,2)</f>
        <v>539.51</v>
      </c>
      <c r="H92" s="386"/>
      <c r="I92" s="43"/>
      <c r="K92" s="490"/>
      <c r="L92" s="491"/>
      <c r="M92" s="492"/>
      <c r="N92" s="493"/>
      <c r="O92" s="494"/>
      <c r="P92" s="494"/>
    </row>
    <row r="93" spans="1:16" s="77" customFormat="1" ht="14.25">
      <c r="A93" s="35"/>
      <c r="B93" s="85" t="s">
        <v>484</v>
      </c>
      <c r="C93" s="44" t="s">
        <v>485</v>
      </c>
      <c r="D93" s="35" t="s">
        <v>45</v>
      </c>
      <c r="E93" s="27">
        <v>0.805</v>
      </c>
      <c r="F93" s="26">
        <f>TRUNC(0.2441,2)</f>
        <v>0.24</v>
      </c>
      <c r="G93" s="26">
        <f>TRUNC(E93*F93,2)</f>
        <v>0.19</v>
      </c>
      <c r="H93" s="26"/>
      <c r="I93" s="27"/>
      <c r="K93" s="78"/>
      <c r="L93" s="79"/>
      <c r="M93" s="24"/>
      <c r="N93" s="80"/>
      <c r="O93" s="25"/>
      <c r="P93" s="25"/>
    </row>
    <row r="94" spans="1:16" s="77" customFormat="1" ht="14.25">
      <c r="A94" s="35"/>
      <c r="B94" s="85" t="s">
        <v>486</v>
      </c>
      <c r="C94" s="44" t="s">
        <v>487</v>
      </c>
      <c r="D94" s="35" t="s">
        <v>45</v>
      </c>
      <c r="E94" s="27">
        <v>0.345</v>
      </c>
      <c r="F94" s="26">
        <f>TRUNC(1.1704,2)</f>
        <v>1.17</v>
      </c>
      <c r="G94" s="26">
        <f>TRUNC(E94*F94,2)</f>
        <v>0.4</v>
      </c>
      <c r="H94" s="26"/>
      <c r="I94" s="27"/>
      <c r="K94" s="78"/>
      <c r="L94" s="79"/>
      <c r="M94" s="24"/>
      <c r="N94" s="80"/>
      <c r="O94" s="25"/>
      <c r="P94" s="25"/>
    </row>
    <row r="95" spans="1:16" s="77" customFormat="1" ht="14.25">
      <c r="A95" s="35"/>
      <c r="B95" s="85"/>
      <c r="C95" s="44"/>
      <c r="D95" s="35"/>
      <c r="E95" s="27" t="s">
        <v>150</v>
      </c>
      <c r="F95" s="26"/>
      <c r="G95" s="26">
        <f>TRUNC(SUM(G80:G94),2)</f>
        <v>1674.33</v>
      </c>
      <c r="H95" s="26"/>
      <c r="I95" s="27"/>
      <c r="K95" s="78"/>
      <c r="L95" s="79"/>
      <c r="M95" s="24"/>
      <c r="N95" s="80"/>
      <c r="O95" s="25"/>
      <c r="P95" s="25"/>
    </row>
    <row r="96" spans="1:16" s="77" customFormat="1" ht="42.75">
      <c r="A96" s="35"/>
      <c r="B96" s="85" t="s">
        <v>974</v>
      </c>
      <c r="C96" s="44" t="s">
        <v>975</v>
      </c>
      <c r="D96" s="35" t="s">
        <v>43</v>
      </c>
      <c r="E96" s="27">
        <v>1</v>
      </c>
      <c r="F96" s="26">
        <f>G100</f>
        <v>408.49</v>
      </c>
      <c r="G96" s="26">
        <f>TRUNC(E96*F96,2)</f>
        <v>408.49</v>
      </c>
      <c r="H96" s="26"/>
      <c r="I96" s="27"/>
      <c r="K96" s="78"/>
      <c r="L96" s="79"/>
      <c r="M96" s="24"/>
      <c r="N96" s="80"/>
      <c r="O96" s="25"/>
      <c r="P96" s="25"/>
    </row>
    <row r="97" spans="1:16" s="77" customFormat="1" ht="14.25">
      <c r="A97" s="35"/>
      <c r="B97" s="85" t="s">
        <v>976</v>
      </c>
      <c r="C97" s="44" t="s">
        <v>977</v>
      </c>
      <c r="D97" s="35" t="s">
        <v>43</v>
      </c>
      <c r="E97" s="27">
        <v>1</v>
      </c>
      <c r="F97" s="26">
        <f>TRUNC(93.8286,2)</f>
        <v>93.82</v>
      </c>
      <c r="G97" s="26">
        <f>TRUNC(E97*F97,2)</f>
        <v>93.82</v>
      </c>
      <c r="H97" s="26"/>
      <c r="I97" s="27"/>
      <c r="K97" s="78"/>
      <c r="L97" s="79"/>
      <c r="M97" s="24"/>
      <c r="N97" s="80"/>
      <c r="O97" s="25"/>
      <c r="P97" s="25"/>
    </row>
    <row r="98" spans="1:16" s="77" customFormat="1" ht="14.25">
      <c r="A98" s="35"/>
      <c r="B98" s="85" t="s">
        <v>978</v>
      </c>
      <c r="C98" s="44" t="s">
        <v>979</v>
      </c>
      <c r="D98" s="35" t="s">
        <v>43</v>
      </c>
      <c r="E98" s="27">
        <v>1</v>
      </c>
      <c r="F98" s="26">
        <f>TRUNC(64.8753,2)</f>
        <v>64.87</v>
      </c>
      <c r="G98" s="26">
        <f>TRUNC(E98*F98,2)</f>
        <v>64.87</v>
      </c>
      <c r="H98" s="26"/>
      <c r="I98" s="27"/>
      <c r="K98" s="78"/>
      <c r="L98" s="79"/>
      <c r="M98" s="24"/>
      <c r="N98" s="80"/>
      <c r="O98" s="25"/>
      <c r="P98" s="25"/>
    </row>
    <row r="99" spans="1:16" s="77" customFormat="1" ht="14.25">
      <c r="A99" s="35"/>
      <c r="B99" s="85" t="s">
        <v>972</v>
      </c>
      <c r="C99" s="44" t="s">
        <v>973</v>
      </c>
      <c r="D99" s="35" t="s">
        <v>43</v>
      </c>
      <c r="E99" s="27">
        <v>1</v>
      </c>
      <c r="F99" s="26">
        <f>TRUNC(249.8087,2)</f>
        <v>249.8</v>
      </c>
      <c r="G99" s="26">
        <f>TRUNC(E99*F99,2)</f>
        <v>249.8</v>
      </c>
      <c r="H99" s="26"/>
      <c r="I99" s="27"/>
      <c r="K99" s="78"/>
      <c r="L99" s="79"/>
      <c r="M99" s="24"/>
      <c r="N99" s="80"/>
      <c r="O99" s="25"/>
      <c r="P99" s="25"/>
    </row>
    <row r="100" spans="1:16" s="77" customFormat="1" ht="14.25">
      <c r="A100" s="35"/>
      <c r="B100" s="85"/>
      <c r="C100" s="44"/>
      <c r="D100" s="35"/>
      <c r="E100" s="27" t="s">
        <v>150</v>
      </c>
      <c r="F100" s="26"/>
      <c r="G100" s="26">
        <f>TRUNC(SUM(G97:G99),2)</f>
        <v>408.49</v>
      </c>
      <c r="H100" s="26"/>
      <c r="I100" s="27"/>
      <c r="K100" s="78"/>
      <c r="L100" s="79"/>
      <c r="M100" s="24"/>
      <c r="N100" s="80"/>
      <c r="O100" s="25"/>
      <c r="P100" s="25"/>
    </row>
    <row r="101" spans="1:16" s="22" customFormat="1" ht="57">
      <c r="A101" s="253" t="s">
        <v>982</v>
      </c>
      <c r="B101" s="259" t="s">
        <v>935</v>
      </c>
      <c r="C101" s="260" t="s">
        <v>936</v>
      </c>
      <c r="D101" s="253" t="s">
        <v>142</v>
      </c>
      <c r="E101" s="258">
        <v>168.66</v>
      </c>
      <c r="F101" s="257">
        <f>TRUNC(F102,2)</f>
        <v>154.12</v>
      </c>
      <c r="G101" s="257">
        <f>TRUNC(F101*1.2882,2)</f>
        <v>198.53</v>
      </c>
      <c r="H101" s="257">
        <f>TRUNC(F101*E101,2)</f>
        <v>25993.87</v>
      </c>
      <c r="I101" s="258">
        <f>TRUNC(E101*G101,2)</f>
        <v>33484.06</v>
      </c>
      <c r="K101" s="30"/>
      <c r="L101" s="31"/>
      <c r="M101" s="28"/>
      <c r="N101" s="32"/>
      <c r="O101" s="29"/>
      <c r="P101" s="29"/>
    </row>
    <row r="102" spans="1:16" s="167" customFormat="1" ht="57">
      <c r="A102" s="164"/>
      <c r="B102" s="173" t="s">
        <v>935</v>
      </c>
      <c r="C102" s="174" t="s">
        <v>936</v>
      </c>
      <c r="D102" s="164" t="s">
        <v>142</v>
      </c>
      <c r="E102" s="175">
        <v>1</v>
      </c>
      <c r="F102" s="165">
        <f>G115</f>
        <v>154.12</v>
      </c>
      <c r="G102" s="165">
        <f>TRUNC(E102*F102,2)</f>
        <v>154.12</v>
      </c>
      <c r="H102" s="165"/>
      <c r="I102" s="166"/>
      <c r="K102" s="176"/>
      <c r="L102" s="177"/>
      <c r="M102" s="178"/>
      <c r="N102" s="179"/>
      <c r="O102" s="180"/>
      <c r="P102" s="180"/>
    </row>
    <row r="103" spans="1:16" s="167" customFormat="1" ht="14.25">
      <c r="A103" s="164"/>
      <c r="B103" s="173" t="s">
        <v>937</v>
      </c>
      <c r="C103" s="174" t="s">
        <v>938</v>
      </c>
      <c r="D103" s="164" t="s">
        <v>142</v>
      </c>
      <c r="E103" s="175">
        <v>1</v>
      </c>
      <c r="F103" s="165">
        <f>TRUNC(91.67,2)</f>
        <v>91.67</v>
      </c>
      <c r="G103" s="165">
        <f>TRUNC(E103*F103,2)</f>
        <v>91.67</v>
      </c>
      <c r="H103" s="165"/>
      <c r="I103" s="166"/>
      <c r="K103" s="176"/>
      <c r="L103" s="177"/>
      <c r="M103" s="178"/>
      <c r="N103" s="179"/>
      <c r="O103" s="180"/>
      <c r="P103" s="180"/>
    </row>
    <row r="104" spans="1:16" s="167" customFormat="1" ht="14.25">
      <c r="A104" s="164"/>
      <c r="B104" s="173" t="s">
        <v>939</v>
      </c>
      <c r="C104" s="174" t="s">
        <v>940</v>
      </c>
      <c r="D104" s="164" t="s">
        <v>43</v>
      </c>
      <c r="E104" s="175">
        <v>0.0945</v>
      </c>
      <c r="F104" s="165">
        <f>TRUNC(325,2)</f>
        <v>325</v>
      </c>
      <c r="G104" s="165">
        <f>TRUNC(E104*F104,2)</f>
        <v>30.71</v>
      </c>
      <c r="H104" s="165"/>
      <c r="I104" s="166"/>
      <c r="K104" s="176"/>
      <c r="L104" s="177"/>
      <c r="M104" s="178"/>
      <c r="N104" s="179"/>
      <c r="O104" s="180"/>
      <c r="P104" s="180"/>
    </row>
    <row r="105" spans="1:16" s="167" customFormat="1" ht="14.25">
      <c r="A105" s="164"/>
      <c r="B105" s="173" t="s">
        <v>941</v>
      </c>
      <c r="C105" s="174" t="s">
        <v>942</v>
      </c>
      <c r="D105" s="164" t="s">
        <v>214</v>
      </c>
      <c r="E105" s="175">
        <v>0.078</v>
      </c>
      <c r="F105" s="165">
        <f>TRUNC(4.0973,2)</f>
        <v>4.09</v>
      </c>
      <c r="G105" s="165">
        <f>TRUNC(E105*F105,2)</f>
        <v>0.31</v>
      </c>
      <c r="H105" s="165"/>
      <c r="I105" s="166"/>
      <c r="K105" s="176"/>
      <c r="L105" s="177"/>
      <c r="M105" s="178"/>
      <c r="N105" s="179"/>
      <c r="O105" s="180"/>
      <c r="P105" s="180"/>
    </row>
    <row r="106" spans="1:16" s="167" customFormat="1" ht="14.25">
      <c r="A106" s="164"/>
      <c r="B106" s="173" t="s">
        <v>943</v>
      </c>
      <c r="C106" s="174" t="s">
        <v>944</v>
      </c>
      <c r="D106" s="164" t="s">
        <v>214</v>
      </c>
      <c r="E106" s="175">
        <v>0.77</v>
      </c>
      <c r="F106" s="165">
        <f>TRUNC(4.9414,2)</f>
        <v>4.94</v>
      </c>
      <c r="G106" s="165">
        <f>TRUNC(E106*F106,2)</f>
        <v>3.8</v>
      </c>
      <c r="H106" s="165"/>
      <c r="I106" s="166"/>
      <c r="K106" s="176"/>
      <c r="L106" s="177"/>
      <c r="M106" s="178"/>
      <c r="N106" s="179"/>
      <c r="O106" s="180"/>
      <c r="P106" s="180"/>
    </row>
    <row r="107" spans="1:16" s="167" customFormat="1" ht="28.5">
      <c r="A107" s="164"/>
      <c r="B107" s="173" t="s">
        <v>386</v>
      </c>
      <c r="C107" s="174" t="s">
        <v>387</v>
      </c>
      <c r="D107" s="164" t="s">
        <v>45</v>
      </c>
      <c r="E107" s="175">
        <v>1.02382</v>
      </c>
      <c r="F107" s="165">
        <f>TRUNC(13.08,2)</f>
        <v>13.08</v>
      </c>
      <c r="G107" s="165">
        <f>TRUNC(E107*F107,2)</f>
        <v>13.39</v>
      </c>
      <c r="H107" s="165"/>
      <c r="I107" s="166"/>
      <c r="K107" s="176"/>
      <c r="L107" s="177"/>
      <c r="M107" s="178"/>
      <c r="N107" s="179"/>
      <c r="O107" s="180"/>
      <c r="P107" s="180"/>
    </row>
    <row r="108" spans="1:16" s="167" customFormat="1" ht="14.25">
      <c r="A108" s="164"/>
      <c r="B108" s="173" t="s">
        <v>392</v>
      </c>
      <c r="C108" s="174" t="s">
        <v>393</v>
      </c>
      <c r="D108" s="164" t="s">
        <v>45</v>
      </c>
      <c r="E108" s="175">
        <v>0.41612000000000005</v>
      </c>
      <c r="F108" s="165">
        <f>TRUNC(18.05,2)</f>
        <v>18.05</v>
      </c>
      <c r="G108" s="165">
        <f>TRUNC(E108*F108,2)</f>
        <v>7.51</v>
      </c>
      <c r="H108" s="165"/>
      <c r="I108" s="166"/>
      <c r="K108" s="176"/>
      <c r="L108" s="177"/>
      <c r="M108" s="178"/>
      <c r="N108" s="179"/>
      <c r="O108" s="180"/>
      <c r="P108" s="180"/>
    </row>
    <row r="109" spans="1:16" s="167" customFormat="1" ht="28.5">
      <c r="A109" s="164"/>
      <c r="B109" s="173" t="s">
        <v>426</v>
      </c>
      <c r="C109" s="174" t="s">
        <v>427</v>
      </c>
      <c r="D109" s="164" t="s">
        <v>45</v>
      </c>
      <c r="E109" s="175">
        <v>0.05562</v>
      </c>
      <c r="F109" s="165">
        <f>TRUNC(18.05,2)</f>
        <v>18.05</v>
      </c>
      <c r="G109" s="165">
        <f>TRUNC(E109*F109,2)</f>
        <v>1</v>
      </c>
      <c r="H109" s="165"/>
      <c r="I109" s="166"/>
      <c r="K109" s="176"/>
      <c r="L109" s="177"/>
      <c r="M109" s="178"/>
      <c r="N109" s="179"/>
      <c r="O109" s="180"/>
      <c r="P109" s="180"/>
    </row>
    <row r="110" spans="1:16" s="167" customFormat="1" ht="28.5">
      <c r="A110" s="164"/>
      <c r="B110" s="173" t="s">
        <v>945</v>
      </c>
      <c r="C110" s="174" t="s">
        <v>946</v>
      </c>
      <c r="D110" s="164" t="s">
        <v>45</v>
      </c>
      <c r="E110" s="175">
        <v>0.14729</v>
      </c>
      <c r="F110" s="165">
        <f>TRUNC(18.05,2)</f>
        <v>18.05</v>
      </c>
      <c r="G110" s="165">
        <f>TRUNC(E110*F110,2)</f>
        <v>2.65</v>
      </c>
      <c r="H110" s="165"/>
      <c r="I110" s="166"/>
      <c r="K110" s="176"/>
      <c r="L110" s="177"/>
      <c r="M110" s="178"/>
      <c r="N110" s="179"/>
      <c r="O110" s="180"/>
      <c r="P110" s="180"/>
    </row>
    <row r="111" spans="1:16" s="167" customFormat="1" ht="14.25">
      <c r="A111" s="164"/>
      <c r="B111" s="173" t="s">
        <v>947</v>
      </c>
      <c r="C111" s="174" t="s">
        <v>948</v>
      </c>
      <c r="D111" s="164" t="s">
        <v>43</v>
      </c>
      <c r="E111" s="175">
        <v>0.09</v>
      </c>
      <c r="F111" s="165">
        <f>TRUNC(30.7843,2)</f>
        <v>30.78</v>
      </c>
      <c r="G111" s="165">
        <f>TRUNC(E111*F111,2)</f>
        <v>2.77</v>
      </c>
      <c r="H111" s="165"/>
      <c r="I111" s="166"/>
      <c r="K111" s="176"/>
      <c r="L111" s="177"/>
      <c r="M111" s="178"/>
      <c r="N111" s="179"/>
      <c r="O111" s="180"/>
      <c r="P111" s="180"/>
    </row>
    <row r="112" spans="1:16" s="167" customFormat="1" ht="14.25">
      <c r="A112" s="164"/>
      <c r="B112" s="173" t="s">
        <v>484</v>
      </c>
      <c r="C112" s="174" t="s">
        <v>485</v>
      </c>
      <c r="D112" s="164" t="s">
        <v>45</v>
      </c>
      <c r="E112" s="175">
        <v>0.0351</v>
      </c>
      <c r="F112" s="165">
        <f>TRUNC(0.2441,2)</f>
        <v>0.24</v>
      </c>
      <c r="G112" s="165">
        <f>TRUNC(E112*F112,2)</f>
        <v>0</v>
      </c>
      <c r="H112" s="165"/>
      <c r="I112" s="166"/>
      <c r="K112" s="176"/>
      <c r="L112" s="177"/>
      <c r="M112" s="178"/>
      <c r="N112" s="179"/>
      <c r="O112" s="180"/>
      <c r="P112" s="180"/>
    </row>
    <row r="113" spans="1:16" s="167" customFormat="1" ht="14.25">
      <c r="A113" s="164"/>
      <c r="B113" s="173" t="s">
        <v>486</v>
      </c>
      <c r="C113" s="174" t="s">
        <v>487</v>
      </c>
      <c r="D113" s="164" t="s">
        <v>45</v>
      </c>
      <c r="E113" s="175">
        <v>0.0207</v>
      </c>
      <c r="F113" s="165">
        <f>TRUNC(1.1704,2)</f>
        <v>1.17</v>
      </c>
      <c r="G113" s="165">
        <f>TRUNC(E113*F113,2)</f>
        <v>0.02</v>
      </c>
      <c r="H113" s="165"/>
      <c r="I113" s="166"/>
      <c r="K113" s="176"/>
      <c r="L113" s="177"/>
      <c r="M113" s="178"/>
      <c r="N113" s="179"/>
      <c r="O113" s="180"/>
      <c r="P113" s="180"/>
    </row>
    <row r="114" spans="1:16" s="167" customFormat="1" ht="14.25">
      <c r="A114" s="164"/>
      <c r="B114" s="173" t="s">
        <v>451</v>
      </c>
      <c r="C114" s="174" t="s">
        <v>452</v>
      </c>
      <c r="D114" s="164" t="s">
        <v>43</v>
      </c>
      <c r="E114" s="175">
        <v>0.001125</v>
      </c>
      <c r="F114" s="165">
        <f>TRUNC(266.0371,2)</f>
        <v>266.03</v>
      </c>
      <c r="G114" s="165">
        <f>TRUNC(E114*F114,2)</f>
        <v>0.29</v>
      </c>
      <c r="H114" s="165"/>
      <c r="I114" s="166"/>
      <c r="K114" s="176"/>
      <c r="L114" s="177"/>
      <c r="M114" s="178"/>
      <c r="N114" s="179"/>
      <c r="O114" s="180"/>
      <c r="P114" s="180"/>
    </row>
    <row r="115" spans="1:16" s="167" customFormat="1" ht="14.25">
      <c r="A115" s="164"/>
      <c r="B115" s="173"/>
      <c r="C115" s="174"/>
      <c r="D115" s="164"/>
      <c r="E115" s="175" t="s">
        <v>150</v>
      </c>
      <c r="F115" s="165"/>
      <c r="G115" s="165">
        <f>TRUNC(SUM(G103:G114),2)</f>
        <v>154.12</v>
      </c>
      <c r="H115" s="165"/>
      <c r="I115" s="166"/>
      <c r="K115" s="176"/>
      <c r="L115" s="177"/>
      <c r="M115" s="178"/>
      <c r="N115" s="179"/>
      <c r="O115" s="180"/>
      <c r="P115" s="180"/>
    </row>
    <row r="116" spans="1:16" s="22" customFormat="1" ht="15">
      <c r="A116" s="119" t="s">
        <v>491</v>
      </c>
      <c r="B116" s="117"/>
      <c r="C116" s="120" t="s">
        <v>155</v>
      </c>
      <c r="D116" s="125"/>
      <c r="E116" s="121"/>
      <c r="F116" s="122"/>
      <c r="G116" s="122"/>
      <c r="H116" s="123">
        <f>H70+H74+H78+H101</f>
        <v>96854.23999999999</v>
      </c>
      <c r="I116" s="123">
        <f>I70+I74+I78+I101</f>
        <v>124765.7</v>
      </c>
      <c r="K116" s="30"/>
      <c r="L116" s="31"/>
      <c r="M116" s="28"/>
      <c r="N116" s="32"/>
      <c r="O116" s="29"/>
      <c r="P116" s="29"/>
    </row>
    <row r="117" spans="1:16" s="22" customFormat="1" ht="15">
      <c r="A117" s="50" t="s">
        <v>156</v>
      </c>
      <c r="B117" s="90"/>
      <c r="C117" s="38" t="s">
        <v>11</v>
      </c>
      <c r="D117" s="111"/>
      <c r="E117" s="38"/>
      <c r="F117" s="38"/>
      <c r="G117" s="38"/>
      <c r="H117" s="38"/>
      <c r="I117" s="38"/>
      <c r="K117" s="30"/>
      <c r="L117" s="31"/>
      <c r="M117" s="28"/>
      <c r="N117" s="32"/>
      <c r="O117" s="29"/>
      <c r="P117" s="29"/>
    </row>
    <row r="118" spans="1:16" s="170" customFormat="1" ht="57">
      <c r="A118" s="253" t="s">
        <v>26</v>
      </c>
      <c r="B118" s="259" t="s">
        <v>391</v>
      </c>
      <c r="C118" s="260" t="s">
        <v>340</v>
      </c>
      <c r="D118" s="253" t="s">
        <v>142</v>
      </c>
      <c r="E118" s="261">
        <v>417.46</v>
      </c>
      <c r="F118" s="257">
        <f>TRUNC(35.282011,2)</f>
        <v>35.28</v>
      </c>
      <c r="G118" s="257">
        <f>TRUNC(F118*1.2882,2)</f>
        <v>45.44</v>
      </c>
      <c r="H118" s="257">
        <f>TRUNC(F118*E118,2)</f>
        <v>14727.98</v>
      </c>
      <c r="I118" s="258">
        <f>TRUNC(E118*G118,2)</f>
        <v>18969.38</v>
      </c>
      <c r="K118" s="181">
        <f>54.14*0.8</f>
        <v>43.312000000000005</v>
      </c>
      <c r="L118" s="187">
        <f>E118+K118</f>
        <v>460.772</v>
      </c>
      <c r="M118" s="183"/>
      <c r="N118" s="184"/>
      <c r="O118" s="185"/>
      <c r="P118" s="185"/>
    </row>
    <row r="119" spans="1:16" s="77" customFormat="1" ht="14.25">
      <c r="A119" s="35"/>
      <c r="B119" s="85" t="s">
        <v>54</v>
      </c>
      <c r="C119" s="44" t="s">
        <v>223</v>
      </c>
      <c r="D119" s="35" t="s">
        <v>148</v>
      </c>
      <c r="E119" s="27">
        <v>17</v>
      </c>
      <c r="F119" s="26">
        <f>TRUNC(0.72,2)</f>
        <v>0.72</v>
      </c>
      <c r="G119" s="26">
        <f>TRUNC(E119*F119,2)</f>
        <v>12.24</v>
      </c>
      <c r="H119" s="26"/>
      <c r="I119" s="27"/>
      <c r="K119" s="78"/>
      <c r="L119" s="79"/>
      <c r="M119" s="24"/>
      <c r="N119" s="80"/>
      <c r="O119" s="25"/>
      <c r="P119" s="25"/>
    </row>
    <row r="120" spans="1:16" s="77" customFormat="1" ht="14.25">
      <c r="A120" s="35"/>
      <c r="B120" s="85" t="s">
        <v>120</v>
      </c>
      <c r="C120" s="44" t="s">
        <v>222</v>
      </c>
      <c r="D120" s="35" t="s">
        <v>148</v>
      </c>
      <c r="E120" s="27">
        <v>1</v>
      </c>
      <c r="F120" s="26">
        <f>TRUNC(0.48,2)</f>
        <v>0.48</v>
      </c>
      <c r="G120" s="26">
        <f>TRUNC(E120*F120,2)</f>
        <v>0.48</v>
      </c>
      <c r="H120" s="26"/>
      <c r="I120" s="27"/>
      <c r="K120" s="78"/>
      <c r="L120" s="79"/>
      <c r="M120" s="24"/>
      <c r="N120" s="80"/>
      <c r="O120" s="25"/>
      <c r="P120" s="25"/>
    </row>
    <row r="121" spans="1:16" s="77" customFormat="1" ht="28.5">
      <c r="A121" s="35"/>
      <c r="B121" s="85" t="s">
        <v>386</v>
      </c>
      <c r="C121" s="44" t="s">
        <v>387</v>
      </c>
      <c r="D121" s="35" t="s">
        <v>45</v>
      </c>
      <c r="E121" s="27">
        <v>0.41200000000000003</v>
      </c>
      <c r="F121" s="26">
        <f>TRUNC(13.08,2)</f>
        <v>13.08</v>
      </c>
      <c r="G121" s="26">
        <f>TRUNC(E121*F121,2)</f>
        <v>5.38</v>
      </c>
      <c r="H121" s="26"/>
      <c r="I121" s="27"/>
      <c r="K121" s="78"/>
      <c r="L121" s="79"/>
      <c r="M121" s="24"/>
      <c r="N121" s="80"/>
      <c r="O121" s="25"/>
      <c r="P121" s="25"/>
    </row>
    <row r="122" spans="1:16" s="77" customFormat="1" ht="14.25">
      <c r="A122" s="35"/>
      <c r="B122" s="85" t="s">
        <v>392</v>
      </c>
      <c r="C122" s="44" t="s">
        <v>393</v>
      </c>
      <c r="D122" s="35" t="s">
        <v>45</v>
      </c>
      <c r="E122" s="27">
        <v>0.8343</v>
      </c>
      <c r="F122" s="26">
        <f>TRUNC(18.05,2)</f>
        <v>18.05</v>
      </c>
      <c r="G122" s="26">
        <f>TRUNC(E122*F122,2)</f>
        <v>15.05</v>
      </c>
      <c r="H122" s="26"/>
      <c r="I122" s="27"/>
      <c r="K122" s="78"/>
      <c r="L122" s="79"/>
      <c r="M122" s="24"/>
      <c r="N122" s="80"/>
      <c r="O122" s="25"/>
      <c r="P122" s="25"/>
    </row>
    <row r="123" spans="1:16" s="77" customFormat="1" ht="14.25">
      <c r="A123" s="35"/>
      <c r="B123" s="85" t="s">
        <v>394</v>
      </c>
      <c r="C123" s="44" t="s">
        <v>395</v>
      </c>
      <c r="D123" s="35" t="s">
        <v>43</v>
      </c>
      <c r="E123" s="27">
        <v>0.01</v>
      </c>
      <c r="F123" s="26">
        <f>TRUNC(211.3936,2)</f>
        <v>211.39</v>
      </c>
      <c r="G123" s="26">
        <f>TRUNC(E123*F123,2)</f>
        <v>2.11</v>
      </c>
      <c r="H123" s="26"/>
      <c r="I123" s="27"/>
      <c r="K123" s="78"/>
      <c r="L123" s="79"/>
      <c r="M123" s="24"/>
      <c r="N123" s="80"/>
      <c r="O123" s="25"/>
      <c r="P123" s="25"/>
    </row>
    <row r="124" spans="1:16" s="77" customFormat="1" ht="14.25">
      <c r="A124" s="35"/>
      <c r="B124" s="85"/>
      <c r="C124" s="44"/>
      <c r="D124" s="35"/>
      <c r="E124" s="27" t="s">
        <v>150</v>
      </c>
      <c r="F124" s="26"/>
      <c r="G124" s="26">
        <f>TRUNC(SUM(G119:G123),2)</f>
        <v>35.26</v>
      </c>
      <c r="H124" s="26"/>
      <c r="I124" s="27"/>
      <c r="K124" s="78"/>
      <c r="L124" s="79"/>
      <c r="M124" s="24"/>
      <c r="N124" s="80"/>
      <c r="O124" s="25"/>
      <c r="P124" s="25"/>
    </row>
    <row r="125" spans="1:16" s="170" customFormat="1" ht="42.75">
      <c r="A125" s="253" t="s">
        <v>27</v>
      </c>
      <c r="B125" s="259" t="s">
        <v>565</v>
      </c>
      <c r="C125" s="260" t="s">
        <v>566</v>
      </c>
      <c r="D125" s="253" t="s">
        <v>142</v>
      </c>
      <c r="E125" s="261">
        <v>105.71</v>
      </c>
      <c r="F125" s="257">
        <f>TRUNC(86.1755048,2)</f>
        <v>86.17</v>
      </c>
      <c r="G125" s="257">
        <f>TRUNC(F125*1.2882,2)</f>
        <v>111</v>
      </c>
      <c r="H125" s="257">
        <f>TRUNC(F125*E125,2)</f>
        <v>9109.03</v>
      </c>
      <c r="I125" s="258">
        <f>TRUNC(E125*G125,2)</f>
        <v>11733.81</v>
      </c>
      <c r="K125" s="181"/>
      <c r="L125" s="182"/>
      <c r="M125" s="183"/>
      <c r="N125" s="184"/>
      <c r="O125" s="185"/>
      <c r="P125" s="185"/>
    </row>
    <row r="126" spans="1:11" s="77" customFormat="1" ht="14.25">
      <c r="A126" s="35"/>
      <c r="B126" s="85" t="s">
        <v>567</v>
      </c>
      <c r="C126" s="45" t="s">
        <v>568</v>
      </c>
      <c r="D126" s="85" t="s">
        <v>142</v>
      </c>
      <c r="E126" s="40">
        <v>1.1</v>
      </c>
      <c r="F126" s="26">
        <f>TRUNC(16.7,2)</f>
        <v>16.7</v>
      </c>
      <c r="G126" s="26">
        <f aca="true" t="shared" si="0" ref="G126:G133">TRUNC(E126*F126,2)</f>
        <v>18.37</v>
      </c>
      <c r="H126" s="26"/>
      <c r="I126" s="27"/>
      <c r="K126" s="37"/>
    </row>
    <row r="127" spans="1:11" s="77" customFormat="1" ht="14.25">
      <c r="A127" s="35"/>
      <c r="B127" s="85" t="s">
        <v>569</v>
      </c>
      <c r="C127" s="45" t="s">
        <v>570</v>
      </c>
      <c r="D127" s="85" t="s">
        <v>214</v>
      </c>
      <c r="E127" s="40">
        <v>0.1</v>
      </c>
      <c r="F127" s="26">
        <f>TRUNC(36,2)</f>
        <v>36</v>
      </c>
      <c r="G127" s="26">
        <f t="shared" si="0"/>
        <v>3.6</v>
      </c>
      <c r="H127" s="26"/>
      <c r="I127" s="27"/>
      <c r="K127" s="37"/>
    </row>
    <row r="128" spans="1:11" s="77" customFormat="1" ht="14.25">
      <c r="A128" s="35"/>
      <c r="B128" s="85" t="s">
        <v>86</v>
      </c>
      <c r="C128" s="45" t="s">
        <v>224</v>
      </c>
      <c r="D128" s="85" t="s">
        <v>214</v>
      </c>
      <c r="E128" s="40">
        <v>0.1</v>
      </c>
      <c r="F128" s="26">
        <f>TRUNC(1.44,2)</f>
        <v>1.44</v>
      </c>
      <c r="G128" s="26">
        <f t="shared" si="0"/>
        <v>0.14</v>
      </c>
      <c r="H128" s="26"/>
      <c r="I128" s="27"/>
      <c r="K128" s="37"/>
    </row>
    <row r="129" spans="1:11" s="77" customFormat="1" ht="28.5">
      <c r="A129" s="35"/>
      <c r="B129" s="85" t="s">
        <v>386</v>
      </c>
      <c r="C129" s="45" t="s">
        <v>387</v>
      </c>
      <c r="D129" s="85" t="s">
        <v>45</v>
      </c>
      <c r="E129" s="40">
        <v>1.03</v>
      </c>
      <c r="F129" s="26">
        <f>TRUNC(13.08,2)</f>
        <v>13.08</v>
      </c>
      <c r="G129" s="26">
        <f t="shared" si="0"/>
        <v>13.47</v>
      </c>
      <c r="H129" s="26"/>
      <c r="I129" s="27"/>
      <c r="K129" s="37"/>
    </row>
    <row r="130" spans="1:11" s="77" customFormat="1" ht="14.25">
      <c r="A130" s="35"/>
      <c r="B130" s="85" t="s">
        <v>396</v>
      </c>
      <c r="C130" s="45" t="s">
        <v>397</v>
      </c>
      <c r="D130" s="85" t="s">
        <v>45</v>
      </c>
      <c r="E130" s="40">
        <v>1.03</v>
      </c>
      <c r="F130" s="26">
        <f>TRUNC(19.43,2)</f>
        <v>19.43</v>
      </c>
      <c r="G130" s="26">
        <f t="shared" si="0"/>
        <v>20.01</v>
      </c>
      <c r="H130" s="26"/>
      <c r="I130" s="27"/>
      <c r="K130" s="37"/>
    </row>
    <row r="131" spans="1:11" s="77" customFormat="1" ht="14.25">
      <c r="A131" s="35"/>
      <c r="B131" s="85" t="s">
        <v>571</v>
      </c>
      <c r="C131" s="45" t="s">
        <v>572</v>
      </c>
      <c r="D131" s="85" t="s">
        <v>142</v>
      </c>
      <c r="E131" s="40">
        <v>1</v>
      </c>
      <c r="F131" s="26">
        <f>TRUNC(24.4123,2)</f>
        <v>24.41</v>
      </c>
      <c r="G131" s="26">
        <f t="shared" si="0"/>
        <v>24.41</v>
      </c>
      <c r="H131" s="26"/>
      <c r="I131" s="27"/>
      <c r="K131" s="37"/>
    </row>
    <row r="132" spans="1:11" s="77" customFormat="1" ht="28.5">
      <c r="A132" s="35"/>
      <c r="B132" s="85" t="s">
        <v>573</v>
      </c>
      <c r="C132" s="45" t="s">
        <v>574</v>
      </c>
      <c r="D132" s="85" t="s">
        <v>142</v>
      </c>
      <c r="E132" s="40">
        <v>1</v>
      </c>
      <c r="F132" s="26">
        <f>TRUNC(4.5364,2)</f>
        <v>4.53</v>
      </c>
      <c r="G132" s="26">
        <f t="shared" si="0"/>
        <v>4.53</v>
      </c>
      <c r="H132" s="26"/>
      <c r="I132" s="27"/>
      <c r="K132" s="37"/>
    </row>
    <row r="133" spans="1:11" s="77" customFormat="1" ht="14.25">
      <c r="A133" s="35"/>
      <c r="B133" s="85" t="s">
        <v>398</v>
      </c>
      <c r="C133" s="45" t="s">
        <v>399</v>
      </c>
      <c r="D133" s="85" t="s">
        <v>43</v>
      </c>
      <c r="E133" s="40">
        <v>0.003</v>
      </c>
      <c r="F133" s="26">
        <f>TRUNC(542.5016,2)</f>
        <v>542.5</v>
      </c>
      <c r="G133" s="26">
        <f t="shared" si="0"/>
        <v>1.62</v>
      </c>
      <c r="H133" s="26"/>
      <c r="I133" s="27"/>
      <c r="K133" s="37"/>
    </row>
    <row r="134" spans="1:11" s="77" customFormat="1" ht="14.25">
      <c r="A134" s="35"/>
      <c r="B134" s="85"/>
      <c r="C134" s="45"/>
      <c r="D134" s="85"/>
      <c r="E134" s="40" t="s">
        <v>150</v>
      </c>
      <c r="F134" s="26"/>
      <c r="G134" s="26">
        <f>TRUNC(SUM(G126:G133),2)</f>
        <v>86.15</v>
      </c>
      <c r="H134" s="26"/>
      <c r="I134" s="27"/>
      <c r="K134" s="37"/>
    </row>
    <row r="135" spans="1:16" s="170" customFormat="1" ht="28.5">
      <c r="A135" s="253" t="s">
        <v>28</v>
      </c>
      <c r="B135" s="259" t="s">
        <v>743</v>
      </c>
      <c r="C135" s="260" t="s">
        <v>744</v>
      </c>
      <c r="D135" s="253" t="s">
        <v>142</v>
      </c>
      <c r="E135" s="261">
        <v>150.76</v>
      </c>
      <c r="F135" s="257">
        <f>TRUNC(F136,2)</f>
        <v>35.45</v>
      </c>
      <c r="G135" s="257">
        <f>TRUNC(F135*1.2882,2)</f>
        <v>45.66</v>
      </c>
      <c r="H135" s="257">
        <f>TRUNC(F135*E135,2)</f>
        <v>5344.44</v>
      </c>
      <c r="I135" s="258">
        <f>TRUNC(E135*G135,2)</f>
        <v>6883.7</v>
      </c>
      <c r="K135" s="181"/>
      <c r="L135" s="182"/>
      <c r="M135" s="183"/>
      <c r="N135" s="184"/>
      <c r="O135" s="185"/>
      <c r="P135" s="185"/>
    </row>
    <row r="136" spans="1:16" s="100" customFormat="1" ht="28.5">
      <c r="A136" s="85"/>
      <c r="B136" s="85" t="s">
        <v>743</v>
      </c>
      <c r="C136" s="44" t="s">
        <v>744</v>
      </c>
      <c r="D136" s="85" t="s">
        <v>142</v>
      </c>
      <c r="E136" s="37">
        <v>1</v>
      </c>
      <c r="F136" s="78">
        <f>G142</f>
        <v>35.45</v>
      </c>
      <c r="G136" s="78">
        <f aca="true" t="shared" si="1" ref="G136:G141">TRUNC(E136*F136,2)</f>
        <v>35.45</v>
      </c>
      <c r="H136" s="78"/>
      <c r="I136" s="37"/>
      <c r="K136" s="78"/>
      <c r="L136" s="23"/>
      <c r="M136" s="101"/>
      <c r="N136" s="102"/>
      <c r="O136" s="103"/>
      <c r="P136" s="103"/>
    </row>
    <row r="137" spans="1:16" s="100" customFormat="1" ht="14.25">
      <c r="A137" s="85"/>
      <c r="B137" s="85" t="s">
        <v>745</v>
      </c>
      <c r="C137" s="44" t="s">
        <v>746</v>
      </c>
      <c r="D137" s="85" t="s">
        <v>539</v>
      </c>
      <c r="E137" s="37">
        <v>0.435</v>
      </c>
      <c r="F137" s="78">
        <f>TRUNC(8.36,2)</f>
        <v>8.36</v>
      </c>
      <c r="G137" s="78">
        <f t="shared" si="1"/>
        <v>3.63</v>
      </c>
      <c r="H137" s="78"/>
      <c r="I137" s="37"/>
      <c r="K137" s="78"/>
      <c r="L137" s="23"/>
      <c r="M137" s="101"/>
      <c r="N137" s="102"/>
      <c r="O137" s="103"/>
      <c r="P137" s="103"/>
    </row>
    <row r="138" spans="1:16" s="100" customFormat="1" ht="14.25">
      <c r="A138" s="85"/>
      <c r="B138" s="85" t="s">
        <v>747</v>
      </c>
      <c r="C138" s="44" t="s">
        <v>748</v>
      </c>
      <c r="D138" s="85" t="s">
        <v>214</v>
      </c>
      <c r="E138" s="37">
        <v>0.5</v>
      </c>
      <c r="F138" s="78">
        <f>TRUNC(0.39,2)</f>
        <v>0.39</v>
      </c>
      <c r="G138" s="78">
        <f t="shared" si="1"/>
        <v>0.19</v>
      </c>
      <c r="H138" s="78"/>
      <c r="I138" s="37"/>
      <c r="K138" s="78"/>
      <c r="L138" s="23"/>
      <c r="M138" s="101"/>
      <c r="N138" s="102"/>
      <c r="O138" s="103"/>
      <c r="P138" s="103"/>
    </row>
    <row r="139" spans="1:16" s="100" customFormat="1" ht="14.25">
      <c r="A139" s="85"/>
      <c r="B139" s="85" t="s">
        <v>534</v>
      </c>
      <c r="C139" s="44" t="s">
        <v>535</v>
      </c>
      <c r="D139" s="85" t="s">
        <v>45</v>
      </c>
      <c r="E139" s="37">
        <v>0.165</v>
      </c>
      <c r="F139" s="78">
        <f>TRUNC(19.85,2)</f>
        <v>19.85</v>
      </c>
      <c r="G139" s="78">
        <f t="shared" si="1"/>
        <v>3.27</v>
      </c>
      <c r="H139" s="78"/>
      <c r="I139" s="37"/>
      <c r="K139" s="78"/>
      <c r="L139" s="23"/>
      <c r="M139" s="101"/>
      <c r="N139" s="102"/>
      <c r="O139" s="103"/>
      <c r="P139" s="103"/>
    </row>
    <row r="140" spans="1:16" s="100" customFormat="1" ht="14.25">
      <c r="A140" s="85"/>
      <c r="B140" s="85" t="s">
        <v>536</v>
      </c>
      <c r="C140" s="44" t="s">
        <v>537</v>
      </c>
      <c r="D140" s="85" t="s">
        <v>45</v>
      </c>
      <c r="E140" s="37">
        <v>0.33</v>
      </c>
      <c r="F140" s="78">
        <f>TRUNC(25.18,2)</f>
        <v>25.18</v>
      </c>
      <c r="G140" s="78">
        <f t="shared" si="1"/>
        <v>8.3</v>
      </c>
      <c r="H140" s="78"/>
      <c r="I140" s="37"/>
      <c r="K140" s="78"/>
      <c r="L140" s="23"/>
      <c r="M140" s="101"/>
      <c r="N140" s="102"/>
      <c r="O140" s="103"/>
      <c r="P140" s="103"/>
    </row>
    <row r="141" spans="1:16" s="100" customFormat="1" ht="28.5">
      <c r="A141" s="85"/>
      <c r="B141" s="85" t="s">
        <v>749</v>
      </c>
      <c r="C141" s="44" t="s">
        <v>750</v>
      </c>
      <c r="D141" s="85" t="s">
        <v>43</v>
      </c>
      <c r="E141" s="37">
        <v>0.0431</v>
      </c>
      <c r="F141" s="78">
        <f>TRUNC(465.45,2)</f>
        <v>465.45</v>
      </c>
      <c r="G141" s="78">
        <f t="shared" si="1"/>
        <v>20.06</v>
      </c>
      <c r="H141" s="78"/>
      <c r="I141" s="37"/>
      <c r="K141" s="78"/>
      <c r="L141" s="23"/>
      <c r="M141" s="101"/>
      <c r="N141" s="102"/>
      <c r="O141" s="103"/>
      <c r="P141" s="103"/>
    </row>
    <row r="142" spans="1:16" s="100" customFormat="1" ht="14.25">
      <c r="A142" s="85"/>
      <c r="B142" s="85"/>
      <c r="C142" s="44"/>
      <c r="D142" s="85"/>
      <c r="E142" s="37" t="s">
        <v>150</v>
      </c>
      <c r="F142" s="78"/>
      <c r="G142" s="78">
        <f>TRUNC(SUM(G137:G141),2)</f>
        <v>35.45</v>
      </c>
      <c r="H142" s="78"/>
      <c r="I142" s="37"/>
      <c r="K142" s="78"/>
      <c r="L142" s="23"/>
      <c r="M142" s="101"/>
      <c r="N142" s="102"/>
      <c r="O142" s="103"/>
      <c r="P142" s="103"/>
    </row>
    <row r="143" spans="1:16" s="170" customFormat="1" ht="28.5">
      <c r="A143" s="253" t="s">
        <v>29</v>
      </c>
      <c r="B143" s="259" t="s">
        <v>563</v>
      </c>
      <c r="C143" s="260" t="s">
        <v>564</v>
      </c>
      <c r="D143" s="253" t="s">
        <v>142</v>
      </c>
      <c r="E143" s="261">
        <v>150.76</v>
      </c>
      <c r="F143" s="257">
        <f>TRUNC(55.4774,2)</f>
        <v>55.47</v>
      </c>
      <c r="G143" s="257">
        <f>TRUNC(F143*1.2882,2)</f>
        <v>71.45</v>
      </c>
      <c r="H143" s="257">
        <f>TRUNC(F143*E143,2)</f>
        <v>8362.65</v>
      </c>
      <c r="I143" s="258">
        <f>TRUNC(E143*G143,2)</f>
        <v>10771.8</v>
      </c>
      <c r="K143" s="181"/>
      <c r="L143" s="182"/>
      <c r="M143" s="183"/>
      <c r="N143" s="184"/>
      <c r="O143" s="185"/>
      <c r="P143" s="185"/>
    </row>
    <row r="144" spans="1:16" s="100" customFormat="1" ht="14.25">
      <c r="A144" s="85"/>
      <c r="B144" s="85" t="s">
        <v>555</v>
      </c>
      <c r="C144" s="44" t="s">
        <v>556</v>
      </c>
      <c r="D144" s="85" t="s">
        <v>214</v>
      </c>
      <c r="E144" s="37">
        <v>0.14</v>
      </c>
      <c r="F144" s="78">
        <f>TRUNC(3.18,2)</f>
        <v>3.18</v>
      </c>
      <c r="G144" s="78">
        <f>TRUNC(E144*F144,2)</f>
        <v>0.44</v>
      </c>
      <c r="H144" s="78"/>
      <c r="I144" s="37"/>
      <c r="K144" s="78"/>
      <c r="L144" s="23"/>
      <c r="M144" s="101"/>
      <c r="N144" s="102"/>
      <c r="O144" s="103"/>
      <c r="P144" s="103"/>
    </row>
    <row r="145" spans="1:16" s="100" customFormat="1" ht="14.25">
      <c r="A145" s="85"/>
      <c r="B145" s="85" t="s">
        <v>557</v>
      </c>
      <c r="C145" s="44" t="s">
        <v>558</v>
      </c>
      <c r="D145" s="85" t="s">
        <v>214</v>
      </c>
      <c r="E145" s="37">
        <v>8.62</v>
      </c>
      <c r="F145" s="78">
        <f>TRUNC(0.5,2)</f>
        <v>0.5</v>
      </c>
      <c r="G145" s="78">
        <f>TRUNC(E145*F145,2)</f>
        <v>4.31</v>
      </c>
      <c r="H145" s="78"/>
      <c r="I145" s="37"/>
      <c r="K145" s="78"/>
      <c r="L145" s="23"/>
      <c r="M145" s="101"/>
      <c r="N145" s="102"/>
      <c r="O145" s="103"/>
      <c r="P145" s="103"/>
    </row>
    <row r="146" spans="1:16" s="100" customFormat="1" ht="28.5">
      <c r="A146" s="85"/>
      <c r="B146" s="85" t="s">
        <v>559</v>
      </c>
      <c r="C146" s="44" t="s">
        <v>560</v>
      </c>
      <c r="D146" s="85" t="s">
        <v>142</v>
      </c>
      <c r="E146" s="37">
        <v>1.07</v>
      </c>
      <c r="F146" s="78">
        <f>TRUNC(36.59,2)</f>
        <v>36.59</v>
      </c>
      <c r="G146" s="78">
        <f>TRUNC(E146*F146,2)</f>
        <v>39.15</v>
      </c>
      <c r="H146" s="78"/>
      <c r="I146" s="37"/>
      <c r="K146" s="78"/>
      <c r="L146" s="23"/>
      <c r="M146" s="101"/>
      <c r="N146" s="102"/>
      <c r="O146" s="103"/>
      <c r="P146" s="103"/>
    </row>
    <row r="147" spans="1:16" s="100" customFormat="1" ht="14.25">
      <c r="A147" s="85"/>
      <c r="B147" s="85" t="s">
        <v>534</v>
      </c>
      <c r="C147" s="44" t="s">
        <v>535</v>
      </c>
      <c r="D147" s="85" t="s">
        <v>45</v>
      </c>
      <c r="E147" s="37">
        <v>0.17</v>
      </c>
      <c r="F147" s="78">
        <f>TRUNC(19.85,2)</f>
        <v>19.85</v>
      </c>
      <c r="G147" s="78">
        <f>TRUNC(E147*F147,2)</f>
        <v>3.37</v>
      </c>
      <c r="H147" s="78"/>
      <c r="I147" s="37"/>
      <c r="K147" s="78"/>
      <c r="L147" s="23"/>
      <c r="M147" s="101"/>
      <c r="N147" s="102"/>
      <c r="O147" s="103"/>
      <c r="P147" s="103"/>
    </row>
    <row r="148" spans="1:16" s="100" customFormat="1" ht="14.25">
      <c r="A148" s="85"/>
      <c r="B148" s="85" t="s">
        <v>561</v>
      </c>
      <c r="C148" s="44" t="s">
        <v>562</v>
      </c>
      <c r="D148" s="85" t="s">
        <v>45</v>
      </c>
      <c r="E148" s="37">
        <v>0.31</v>
      </c>
      <c r="F148" s="78">
        <f>TRUNC(26.44,2)</f>
        <v>26.44</v>
      </c>
      <c r="G148" s="78">
        <f>TRUNC(E148*F148,2)</f>
        <v>8.19</v>
      </c>
      <c r="H148" s="78"/>
      <c r="I148" s="37"/>
      <c r="K148" s="78"/>
      <c r="L148" s="23"/>
      <c r="M148" s="101"/>
      <c r="N148" s="102"/>
      <c r="O148" s="103"/>
      <c r="P148" s="103"/>
    </row>
    <row r="149" spans="1:16" s="100" customFormat="1" ht="14.25">
      <c r="A149" s="85"/>
      <c r="B149" s="85"/>
      <c r="C149" s="44"/>
      <c r="D149" s="85"/>
      <c r="E149" s="37" t="s">
        <v>150</v>
      </c>
      <c r="F149" s="78"/>
      <c r="G149" s="78">
        <f>TRUNC(SUM(G144:G148),2)</f>
        <v>55.46</v>
      </c>
      <c r="H149" s="78"/>
      <c r="I149" s="37"/>
      <c r="K149" s="78"/>
      <c r="L149" s="23"/>
      <c r="M149" s="101"/>
      <c r="N149" s="102"/>
      <c r="O149" s="103"/>
      <c r="P149" s="103"/>
    </row>
    <row r="150" spans="1:11" s="167" customFormat="1" ht="28.5">
      <c r="A150" s="253" t="s">
        <v>30</v>
      </c>
      <c r="B150" s="254" t="s">
        <v>710</v>
      </c>
      <c r="C150" s="255" t="s">
        <v>711</v>
      </c>
      <c r="D150" s="253" t="s">
        <v>141</v>
      </c>
      <c r="E150" s="256">
        <v>190.69</v>
      </c>
      <c r="F150" s="257">
        <f>TRUNC(F151,2)</f>
        <v>29.12</v>
      </c>
      <c r="G150" s="257">
        <f>TRUNC(F150*1.2882,2)</f>
        <v>37.51</v>
      </c>
      <c r="H150" s="257">
        <f>TRUNC(F150*E150,2)</f>
        <v>5552.89</v>
      </c>
      <c r="I150" s="258">
        <f>TRUNC(E150*G150,2)</f>
        <v>7152.78</v>
      </c>
      <c r="K150" s="199"/>
    </row>
    <row r="151" spans="1:11" s="167" customFormat="1" ht="28.5">
      <c r="A151" s="212"/>
      <c r="B151" s="192" t="s">
        <v>710</v>
      </c>
      <c r="C151" s="198" t="s">
        <v>711</v>
      </c>
      <c r="D151" s="164" t="s">
        <v>141</v>
      </c>
      <c r="E151" s="220">
        <v>1</v>
      </c>
      <c r="F151" s="165">
        <f>G160</f>
        <v>29.12</v>
      </c>
      <c r="G151" s="165">
        <f aca="true" t="shared" si="2" ref="G151:G159">TRUNC(E151*F151,2)</f>
        <v>29.12</v>
      </c>
      <c r="H151" s="165"/>
      <c r="I151" s="213"/>
      <c r="K151" s="199"/>
    </row>
    <row r="152" spans="1:11" s="167" customFormat="1" ht="14.25">
      <c r="A152" s="212"/>
      <c r="B152" s="192" t="s">
        <v>712</v>
      </c>
      <c r="C152" s="198" t="s">
        <v>713</v>
      </c>
      <c r="D152" s="164" t="s">
        <v>142</v>
      </c>
      <c r="E152" s="220">
        <v>0.11</v>
      </c>
      <c r="F152" s="165">
        <f>TRUNC(54.06,2)</f>
        <v>54.06</v>
      </c>
      <c r="G152" s="165">
        <f t="shared" si="2"/>
        <v>5.94</v>
      </c>
      <c r="H152" s="165"/>
      <c r="I152" s="213"/>
      <c r="K152" s="199"/>
    </row>
    <row r="153" spans="1:11" s="167" customFormat="1" ht="14.25">
      <c r="A153" s="212"/>
      <c r="B153" s="192" t="s">
        <v>569</v>
      </c>
      <c r="C153" s="198" t="s">
        <v>570</v>
      </c>
      <c r="D153" s="164" t="s">
        <v>214</v>
      </c>
      <c r="E153" s="220">
        <v>0.01</v>
      </c>
      <c r="F153" s="165">
        <f>TRUNC(36,2)</f>
        <v>36</v>
      </c>
      <c r="G153" s="165">
        <f t="shared" si="2"/>
        <v>0.36</v>
      </c>
      <c r="H153" s="165"/>
      <c r="I153" s="213"/>
      <c r="K153" s="199"/>
    </row>
    <row r="154" spans="1:11" s="167" customFormat="1" ht="14.25">
      <c r="A154" s="212"/>
      <c r="B154" s="192" t="s">
        <v>86</v>
      </c>
      <c r="C154" s="198" t="s">
        <v>224</v>
      </c>
      <c r="D154" s="164" t="s">
        <v>214</v>
      </c>
      <c r="E154" s="220">
        <v>0.01</v>
      </c>
      <c r="F154" s="165">
        <f>TRUNC(1.44,2)</f>
        <v>1.44</v>
      </c>
      <c r="G154" s="165">
        <f t="shared" si="2"/>
        <v>0.01</v>
      </c>
      <c r="H154" s="165"/>
      <c r="I154" s="213"/>
      <c r="K154" s="199"/>
    </row>
    <row r="155" spans="1:11" s="167" customFormat="1" ht="28.5">
      <c r="A155" s="212"/>
      <c r="B155" s="192" t="s">
        <v>386</v>
      </c>
      <c r="C155" s="198" t="s">
        <v>387</v>
      </c>
      <c r="D155" s="164" t="s">
        <v>45</v>
      </c>
      <c r="E155" s="220">
        <v>0.7313</v>
      </c>
      <c r="F155" s="165">
        <f>TRUNC(13.08,2)</f>
        <v>13.08</v>
      </c>
      <c r="G155" s="165">
        <f t="shared" si="2"/>
        <v>9.56</v>
      </c>
      <c r="H155" s="165"/>
      <c r="I155" s="213"/>
      <c r="K155" s="199"/>
    </row>
    <row r="156" spans="1:11" s="167" customFormat="1" ht="14.25">
      <c r="A156" s="212"/>
      <c r="B156" s="192" t="s">
        <v>396</v>
      </c>
      <c r="C156" s="198" t="s">
        <v>397</v>
      </c>
      <c r="D156" s="164" t="s">
        <v>45</v>
      </c>
      <c r="E156" s="220">
        <v>0.5253</v>
      </c>
      <c r="F156" s="165">
        <f>TRUNC(19.43,2)</f>
        <v>19.43</v>
      </c>
      <c r="G156" s="165">
        <f t="shared" si="2"/>
        <v>10.2</v>
      </c>
      <c r="H156" s="165"/>
      <c r="I156" s="213"/>
      <c r="K156" s="199"/>
    </row>
    <row r="157" spans="1:11" s="167" customFormat="1" ht="14.25">
      <c r="A157" s="212"/>
      <c r="B157" s="192" t="s">
        <v>571</v>
      </c>
      <c r="C157" s="198" t="s">
        <v>572</v>
      </c>
      <c r="D157" s="164" t="s">
        <v>142</v>
      </c>
      <c r="E157" s="220">
        <v>0.1</v>
      </c>
      <c r="F157" s="165">
        <f>TRUNC(24.4123,2)</f>
        <v>24.41</v>
      </c>
      <c r="G157" s="165">
        <f t="shared" si="2"/>
        <v>2.44</v>
      </c>
      <c r="H157" s="165"/>
      <c r="I157" s="213"/>
      <c r="K157" s="199"/>
    </row>
    <row r="158" spans="1:11" s="167" customFormat="1" ht="28.5">
      <c r="A158" s="212"/>
      <c r="B158" s="192" t="s">
        <v>573</v>
      </c>
      <c r="C158" s="198" t="s">
        <v>574</v>
      </c>
      <c r="D158" s="164" t="s">
        <v>142</v>
      </c>
      <c r="E158" s="220">
        <v>0.1</v>
      </c>
      <c r="F158" s="165">
        <f>TRUNC(4.5364,2)</f>
        <v>4.53</v>
      </c>
      <c r="G158" s="165">
        <f t="shared" si="2"/>
        <v>0.45</v>
      </c>
      <c r="H158" s="165"/>
      <c r="I158" s="213"/>
      <c r="K158" s="199"/>
    </row>
    <row r="159" spans="1:11" s="167" customFormat="1" ht="14.25">
      <c r="A159" s="212"/>
      <c r="B159" s="192" t="s">
        <v>398</v>
      </c>
      <c r="C159" s="198" t="s">
        <v>399</v>
      </c>
      <c r="D159" s="164" t="s">
        <v>43</v>
      </c>
      <c r="E159" s="220">
        <v>0.0003</v>
      </c>
      <c r="F159" s="165">
        <f>TRUNC(542.5016,2)</f>
        <v>542.5</v>
      </c>
      <c r="G159" s="165">
        <f t="shared" si="2"/>
        <v>0.16</v>
      </c>
      <c r="H159" s="165"/>
      <c r="I159" s="213"/>
      <c r="K159" s="199"/>
    </row>
    <row r="160" spans="1:11" s="167" customFormat="1" ht="14.25">
      <c r="A160" s="212"/>
      <c r="B160" s="192"/>
      <c r="C160" s="198"/>
      <c r="D160" s="164"/>
      <c r="E160" s="220" t="s">
        <v>150</v>
      </c>
      <c r="F160" s="165"/>
      <c r="G160" s="165">
        <f>TRUNC(SUM(G152:G159),2)</f>
        <v>29.12</v>
      </c>
      <c r="H160" s="165"/>
      <c r="I160" s="213"/>
      <c r="K160" s="199"/>
    </row>
    <row r="161" spans="1:11" s="167" customFormat="1" ht="57">
      <c r="A161" s="253" t="s">
        <v>31</v>
      </c>
      <c r="B161" s="254" t="s">
        <v>700</v>
      </c>
      <c r="C161" s="255" t="s">
        <v>701</v>
      </c>
      <c r="D161" s="253" t="s">
        <v>142</v>
      </c>
      <c r="E161" s="256">
        <v>21.55</v>
      </c>
      <c r="F161" s="257">
        <f>TRUNC(F162,2)</f>
        <v>112.19</v>
      </c>
      <c r="G161" s="257">
        <f>TRUNC(F161*1.2882,2)</f>
        <v>144.52</v>
      </c>
      <c r="H161" s="257">
        <f>TRUNC(F161*E161,2)</f>
        <v>2417.69</v>
      </c>
      <c r="I161" s="258">
        <f>TRUNC(E161*G161,2)</f>
        <v>3114.4</v>
      </c>
      <c r="K161" s="199"/>
    </row>
    <row r="162" spans="1:11" s="167" customFormat="1" ht="57">
      <c r="A162" s="205"/>
      <c r="B162" s="206" t="s">
        <v>700</v>
      </c>
      <c r="C162" s="223" t="s">
        <v>701</v>
      </c>
      <c r="D162" s="221" t="s">
        <v>142</v>
      </c>
      <c r="E162" s="222">
        <v>1</v>
      </c>
      <c r="F162" s="210">
        <f>TRUNC(112.1970697,2)</f>
        <v>112.19</v>
      </c>
      <c r="G162" s="210">
        <f aca="true" t="shared" si="3" ref="G162:G169">TRUNC(E162*F162,2)</f>
        <v>112.19</v>
      </c>
      <c r="H162" s="210"/>
      <c r="I162" s="211"/>
      <c r="K162" s="199"/>
    </row>
    <row r="163" spans="1:11" s="167" customFormat="1" ht="28.5">
      <c r="A163" s="212"/>
      <c r="B163" s="192" t="s">
        <v>702</v>
      </c>
      <c r="C163" s="198" t="s">
        <v>703</v>
      </c>
      <c r="D163" s="164" t="s">
        <v>142</v>
      </c>
      <c r="E163" s="220">
        <v>1.05</v>
      </c>
      <c r="F163" s="165">
        <f>TRUNC(56.7,2)</f>
        <v>56.7</v>
      </c>
      <c r="G163" s="165">
        <f t="shared" si="3"/>
        <v>59.53</v>
      </c>
      <c r="H163" s="165"/>
      <c r="I163" s="213"/>
      <c r="K163" s="199"/>
    </row>
    <row r="164" spans="1:11" s="167" customFormat="1" ht="14.25">
      <c r="A164" s="212"/>
      <c r="B164" s="192" t="s">
        <v>569</v>
      </c>
      <c r="C164" s="198" t="s">
        <v>570</v>
      </c>
      <c r="D164" s="164" t="s">
        <v>214</v>
      </c>
      <c r="E164" s="220">
        <v>0.1</v>
      </c>
      <c r="F164" s="165">
        <f>TRUNC(36,2)</f>
        <v>36</v>
      </c>
      <c r="G164" s="165">
        <f t="shared" si="3"/>
        <v>3.6</v>
      </c>
      <c r="H164" s="165"/>
      <c r="I164" s="213"/>
      <c r="K164" s="199"/>
    </row>
    <row r="165" spans="1:11" s="167" customFormat="1" ht="14.25">
      <c r="A165" s="212"/>
      <c r="B165" s="192" t="s">
        <v>86</v>
      </c>
      <c r="C165" s="198" t="s">
        <v>224</v>
      </c>
      <c r="D165" s="164" t="s">
        <v>214</v>
      </c>
      <c r="E165" s="220">
        <v>0.1</v>
      </c>
      <c r="F165" s="165">
        <f>TRUNC(1.44,2)</f>
        <v>1.44</v>
      </c>
      <c r="G165" s="165">
        <f t="shared" si="3"/>
        <v>0.14</v>
      </c>
      <c r="H165" s="165"/>
      <c r="I165" s="213"/>
      <c r="K165" s="199"/>
    </row>
    <row r="166" spans="1:11" s="167" customFormat="1" ht="28.5">
      <c r="A166" s="212"/>
      <c r="B166" s="192" t="s">
        <v>386</v>
      </c>
      <c r="C166" s="198" t="s">
        <v>387</v>
      </c>
      <c r="D166" s="164" t="s">
        <v>45</v>
      </c>
      <c r="E166" s="220">
        <v>1.1330000000000002</v>
      </c>
      <c r="F166" s="165">
        <f>TRUNC(13.08,2)</f>
        <v>13.08</v>
      </c>
      <c r="G166" s="165">
        <f t="shared" si="3"/>
        <v>14.81</v>
      </c>
      <c r="H166" s="165"/>
      <c r="I166" s="213"/>
      <c r="K166" s="199"/>
    </row>
    <row r="167" spans="1:11" s="167" customFormat="1" ht="14.25">
      <c r="A167" s="212"/>
      <c r="B167" s="192" t="s">
        <v>396</v>
      </c>
      <c r="C167" s="198" t="s">
        <v>397</v>
      </c>
      <c r="D167" s="164" t="s">
        <v>45</v>
      </c>
      <c r="E167" s="220">
        <v>1.1330000000000002</v>
      </c>
      <c r="F167" s="165">
        <f>TRUNC(19.43,2)</f>
        <v>19.43</v>
      </c>
      <c r="G167" s="165">
        <f t="shared" si="3"/>
        <v>22.01</v>
      </c>
      <c r="H167" s="165"/>
      <c r="I167" s="213"/>
      <c r="K167" s="199"/>
    </row>
    <row r="168" spans="1:11" s="167" customFormat="1" ht="14.25">
      <c r="A168" s="212"/>
      <c r="B168" s="192" t="s">
        <v>402</v>
      </c>
      <c r="C168" s="198" t="s">
        <v>403</v>
      </c>
      <c r="D168" s="164" t="s">
        <v>43</v>
      </c>
      <c r="E168" s="220">
        <v>0.035</v>
      </c>
      <c r="F168" s="165">
        <f>TRUNC(314.2639,2)</f>
        <v>314.26</v>
      </c>
      <c r="G168" s="165">
        <f t="shared" si="3"/>
        <v>10.99</v>
      </c>
      <c r="H168" s="165"/>
      <c r="I168" s="213"/>
      <c r="K168" s="199"/>
    </row>
    <row r="169" spans="1:11" s="167" customFormat="1" ht="14.25">
      <c r="A169" s="212"/>
      <c r="B169" s="192" t="s">
        <v>398</v>
      </c>
      <c r="C169" s="198" t="s">
        <v>399</v>
      </c>
      <c r="D169" s="164" t="s">
        <v>43</v>
      </c>
      <c r="E169" s="220">
        <v>0.002</v>
      </c>
      <c r="F169" s="165">
        <f>TRUNC(542.5016,2)</f>
        <v>542.5</v>
      </c>
      <c r="G169" s="165">
        <f t="shared" si="3"/>
        <v>1.08</v>
      </c>
      <c r="H169" s="165"/>
      <c r="I169" s="213"/>
      <c r="K169" s="199"/>
    </row>
    <row r="170" spans="1:11" s="167" customFormat="1" ht="14.25">
      <c r="A170" s="212"/>
      <c r="B170" s="192"/>
      <c r="C170" s="198"/>
      <c r="D170" s="164"/>
      <c r="E170" s="220" t="s">
        <v>150</v>
      </c>
      <c r="F170" s="165"/>
      <c r="G170" s="165">
        <f>TRUNC(SUM(G163:G169),2)</f>
        <v>112.16</v>
      </c>
      <c r="H170" s="165"/>
      <c r="I170" s="213"/>
      <c r="K170" s="199"/>
    </row>
    <row r="171" spans="1:9" s="167" customFormat="1" ht="42.75">
      <c r="A171" s="253" t="s">
        <v>32</v>
      </c>
      <c r="B171" s="254" t="s">
        <v>704</v>
      </c>
      <c r="C171" s="255" t="s">
        <v>705</v>
      </c>
      <c r="D171" s="253" t="s">
        <v>142</v>
      </c>
      <c r="E171" s="256">
        <v>7.33</v>
      </c>
      <c r="F171" s="257">
        <f>TRUNC(F172,2)</f>
        <v>112.19</v>
      </c>
      <c r="G171" s="257">
        <f>TRUNC(F171*1.2882,2)</f>
        <v>144.52</v>
      </c>
      <c r="H171" s="257">
        <f>TRUNC(F171*E171,2)</f>
        <v>822.35</v>
      </c>
      <c r="I171" s="258">
        <f>TRUNC(E171*G171,2)</f>
        <v>1059.33</v>
      </c>
    </row>
    <row r="172" spans="1:9" s="167" customFormat="1" ht="42.75">
      <c r="A172" s="205"/>
      <c r="B172" s="206" t="s">
        <v>704</v>
      </c>
      <c r="C172" s="223" t="s">
        <v>705</v>
      </c>
      <c r="D172" s="221" t="s">
        <v>142</v>
      </c>
      <c r="E172" s="222">
        <v>1</v>
      </c>
      <c r="F172" s="210">
        <f>TRUNC(112.1970697,2)</f>
        <v>112.19</v>
      </c>
      <c r="G172" s="210">
        <f aca="true" t="shared" si="4" ref="G172:G179">TRUNC(E172*F172,2)</f>
        <v>112.19</v>
      </c>
      <c r="H172" s="210"/>
      <c r="I172" s="211"/>
    </row>
    <row r="173" spans="1:9" s="167" customFormat="1" ht="28.5">
      <c r="A173" s="212"/>
      <c r="B173" s="192" t="s">
        <v>706</v>
      </c>
      <c r="C173" s="198" t="s">
        <v>707</v>
      </c>
      <c r="D173" s="164" t="s">
        <v>142</v>
      </c>
      <c r="E173" s="220">
        <v>1.05</v>
      </c>
      <c r="F173" s="165">
        <f>TRUNC(56.7,2)</f>
        <v>56.7</v>
      </c>
      <c r="G173" s="165">
        <f t="shared" si="4"/>
        <v>59.53</v>
      </c>
      <c r="H173" s="165"/>
      <c r="I173" s="213"/>
    </row>
    <row r="174" spans="1:9" s="167" customFormat="1" ht="14.25">
      <c r="A174" s="212"/>
      <c r="B174" s="192" t="s">
        <v>569</v>
      </c>
      <c r="C174" s="198" t="s">
        <v>570</v>
      </c>
      <c r="D174" s="164" t="s">
        <v>214</v>
      </c>
      <c r="E174" s="220">
        <v>0.1</v>
      </c>
      <c r="F174" s="165">
        <f>TRUNC(36,2)</f>
        <v>36</v>
      </c>
      <c r="G174" s="165">
        <f t="shared" si="4"/>
        <v>3.6</v>
      </c>
      <c r="H174" s="165"/>
      <c r="I174" s="213"/>
    </row>
    <row r="175" spans="1:9" s="167" customFormat="1" ht="14.25">
      <c r="A175" s="212"/>
      <c r="B175" s="192" t="s">
        <v>86</v>
      </c>
      <c r="C175" s="198" t="s">
        <v>224</v>
      </c>
      <c r="D175" s="164" t="s">
        <v>214</v>
      </c>
      <c r="E175" s="220">
        <v>0.1</v>
      </c>
      <c r="F175" s="165">
        <f>TRUNC(1.44,2)</f>
        <v>1.44</v>
      </c>
      <c r="G175" s="165">
        <f t="shared" si="4"/>
        <v>0.14</v>
      </c>
      <c r="H175" s="165"/>
      <c r="I175" s="213"/>
    </row>
    <row r="176" spans="1:9" s="167" customFormat="1" ht="28.5">
      <c r="A176" s="212"/>
      <c r="B176" s="192" t="s">
        <v>386</v>
      </c>
      <c r="C176" s="198" t="s">
        <v>387</v>
      </c>
      <c r="D176" s="164" t="s">
        <v>45</v>
      </c>
      <c r="E176" s="220">
        <v>1.1330000000000002</v>
      </c>
      <c r="F176" s="165">
        <f>TRUNC(13.08,2)</f>
        <v>13.08</v>
      </c>
      <c r="G176" s="165">
        <f t="shared" si="4"/>
        <v>14.81</v>
      </c>
      <c r="H176" s="165"/>
      <c r="I176" s="213"/>
    </row>
    <row r="177" spans="1:9" s="167" customFormat="1" ht="14.25">
      <c r="A177" s="212"/>
      <c r="B177" s="192" t="s">
        <v>396</v>
      </c>
      <c r="C177" s="198" t="s">
        <v>397</v>
      </c>
      <c r="D177" s="164" t="s">
        <v>45</v>
      </c>
      <c r="E177" s="220">
        <v>1.1330000000000002</v>
      </c>
      <c r="F177" s="165">
        <f>TRUNC(19.43,2)</f>
        <v>19.43</v>
      </c>
      <c r="G177" s="165">
        <f t="shared" si="4"/>
        <v>22.01</v>
      </c>
      <c r="H177" s="165"/>
      <c r="I177" s="213"/>
    </row>
    <row r="178" spans="1:9" s="167" customFormat="1" ht="14.25">
      <c r="A178" s="212"/>
      <c r="B178" s="192" t="s">
        <v>402</v>
      </c>
      <c r="C178" s="198" t="s">
        <v>403</v>
      </c>
      <c r="D178" s="164" t="s">
        <v>43</v>
      </c>
      <c r="E178" s="220">
        <v>0.035</v>
      </c>
      <c r="F178" s="165">
        <f>TRUNC(314.2639,2)</f>
        <v>314.26</v>
      </c>
      <c r="G178" s="165">
        <f t="shared" si="4"/>
        <v>10.99</v>
      </c>
      <c r="H178" s="165"/>
      <c r="I178" s="213"/>
    </row>
    <row r="179" spans="1:9" s="167" customFormat="1" ht="14.25">
      <c r="A179" s="212"/>
      <c r="B179" s="192" t="s">
        <v>398</v>
      </c>
      <c r="C179" s="198" t="s">
        <v>399</v>
      </c>
      <c r="D179" s="164" t="s">
        <v>43</v>
      </c>
      <c r="E179" s="220">
        <v>0.002</v>
      </c>
      <c r="F179" s="165">
        <f>TRUNC(542.5016,2)</f>
        <v>542.5</v>
      </c>
      <c r="G179" s="165">
        <f t="shared" si="4"/>
        <v>1.08</v>
      </c>
      <c r="H179" s="165"/>
      <c r="I179" s="213"/>
    </row>
    <row r="180" spans="1:9" s="167" customFormat="1" ht="14.25">
      <c r="A180" s="212"/>
      <c r="B180" s="192"/>
      <c r="C180" s="198"/>
      <c r="D180" s="164"/>
      <c r="E180" s="220" t="s">
        <v>150</v>
      </c>
      <c r="F180" s="165"/>
      <c r="G180" s="165">
        <f>TRUNC(SUM(G173:G179),2)</f>
        <v>112.16</v>
      </c>
      <c r="H180" s="165"/>
      <c r="I180" s="213"/>
    </row>
    <row r="181" spans="1:9" s="167" customFormat="1" ht="42.75">
      <c r="A181" s="253" t="s">
        <v>159</v>
      </c>
      <c r="B181" s="262" t="s">
        <v>404</v>
      </c>
      <c r="C181" s="266" t="s">
        <v>372</v>
      </c>
      <c r="D181" s="267" t="s">
        <v>141</v>
      </c>
      <c r="E181" s="268">
        <v>18.4</v>
      </c>
      <c r="F181" s="257">
        <f>TRUNC(F182,2)</f>
        <v>45.65</v>
      </c>
      <c r="G181" s="257">
        <f>TRUNC(F181*1.2882,2)</f>
        <v>58.8</v>
      </c>
      <c r="H181" s="257">
        <f>TRUNC(F181*E181,2)</f>
        <v>839.96</v>
      </c>
      <c r="I181" s="258">
        <f>TRUNC(E181*G181,2)</f>
        <v>1081.92</v>
      </c>
    </row>
    <row r="182" spans="1:9" s="167" customFormat="1" ht="42.75">
      <c r="A182" s="205"/>
      <c r="B182" s="225" t="s">
        <v>404</v>
      </c>
      <c r="C182" s="207" t="s">
        <v>372</v>
      </c>
      <c r="D182" s="208" t="s">
        <v>141</v>
      </c>
      <c r="E182" s="209">
        <v>1</v>
      </c>
      <c r="F182" s="210">
        <f>G186</f>
        <v>45.65</v>
      </c>
      <c r="G182" s="210">
        <f>TRUNC(E182*F182,2)</f>
        <v>45.65</v>
      </c>
      <c r="H182" s="210"/>
      <c r="I182" s="211"/>
    </row>
    <row r="183" spans="1:9" s="167" customFormat="1" ht="14.25">
      <c r="A183" s="212"/>
      <c r="B183" s="224" t="s">
        <v>373</v>
      </c>
      <c r="C183" s="203" t="s">
        <v>374</v>
      </c>
      <c r="D183" s="204" t="s">
        <v>141</v>
      </c>
      <c r="E183" s="200">
        <v>1.05</v>
      </c>
      <c r="F183" s="165">
        <f>TRUNC(30.63,2)</f>
        <v>30.63</v>
      </c>
      <c r="G183" s="165">
        <f>TRUNC(E183*F183,2)</f>
        <v>32.16</v>
      </c>
      <c r="H183" s="165"/>
      <c r="I183" s="213"/>
    </row>
    <row r="184" spans="1:9" s="167" customFormat="1" ht="28.5">
      <c r="A184" s="212"/>
      <c r="B184" s="224" t="s">
        <v>386</v>
      </c>
      <c r="C184" s="203" t="s">
        <v>387</v>
      </c>
      <c r="D184" s="204" t="s">
        <v>45</v>
      </c>
      <c r="E184" s="200">
        <v>0.4635</v>
      </c>
      <c r="F184" s="165">
        <f>TRUNC(13.08,2)</f>
        <v>13.08</v>
      </c>
      <c r="G184" s="165">
        <f>TRUNC(E184*F184,2)</f>
        <v>6.06</v>
      </c>
      <c r="H184" s="165"/>
      <c r="I184" s="213"/>
    </row>
    <row r="185" spans="1:9" s="167" customFormat="1" ht="28.5">
      <c r="A185" s="212"/>
      <c r="B185" s="224" t="s">
        <v>400</v>
      </c>
      <c r="C185" s="203" t="s">
        <v>401</v>
      </c>
      <c r="D185" s="204" t="s">
        <v>45</v>
      </c>
      <c r="E185" s="200">
        <v>0.41200000000000003</v>
      </c>
      <c r="F185" s="165">
        <f>TRUNC(18.05,2)</f>
        <v>18.05</v>
      </c>
      <c r="G185" s="165">
        <f>TRUNC(E185*F185,2)</f>
        <v>7.43</v>
      </c>
      <c r="H185" s="165"/>
      <c r="I185" s="213"/>
    </row>
    <row r="186" spans="1:9" s="167" customFormat="1" ht="14.25">
      <c r="A186" s="214"/>
      <c r="B186" s="226"/>
      <c r="C186" s="215"/>
      <c r="D186" s="216"/>
      <c r="E186" s="217" t="s">
        <v>150</v>
      </c>
      <c r="F186" s="218"/>
      <c r="G186" s="218">
        <f>TRUNC(SUM(G183:G185),2)</f>
        <v>45.65</v>
      </c>
      <c r="H186" s="218"/>
      <c r="I186" s="219"/>
    </row>
    <row r="187" spans="1:9" s="167" customFormat="1" ht="57">
      <c r="A187" s="269" t="s">
        <v>114</v>
      </c>
      <c r="B187" s="270" t="s">
        <v>405</v>
      </c>
      <c r="C187" s="271" t="s">
        <v>341</v>
      </c>
      <c r="D187" s="272" t="s">
        <v>141</v>
      </c>
      <c r="E187" s="273">
        <v>15</v>
      </c>
      <c r="F187" s="274">
        <f>TRUNC(F188,2)</f>
        <v>38.95</v>
      </c>
      <c r="G187" s="274">
        <f>TRUNC(F187*1.2882,2)</f>
        <v>50.17</v>
      </c>
      <c r="H187" s="274">
        <f>TRUNC(F187*E187,2)</f>
        <v>584.25</v>
      </c>
      <c r="I187" s="275">
        <f>TRUNC(E187*G187,2)</f>
        <v>752.55</v>
      </c>
    </row>
    <row r="188" spans="1:9" s="167" customFormat="1" ht="57">
      <c r="A188" s="205"/>
      <c r="B188" s="225" t="s">
        <v>405</v>
      </c>
      <c r="C188" s="207" t="s">
        <v>341</v>
      </c>
      <c r="D188" s="208" t="s">
        <v>141</v>
      </c>
      <c r="E188" s="209">
        <v>1</v>
      </c>
      <c r="F188" s="210">
        <f>G195</f>
        <v>38.95</v>
      </c>
      <c r="G188" s="210">
        <f aca="true" t="shared" si="5" ref="G188:G194">TRUNC(E188*F188,2)</f>
        <v>38.95</v>
      </c>
      <c r="H188" s="210"/>
      <c r="I188" s="211"/>
    </row>
    <row r="189" spans="1:9" s="167" customFormat="1" ht="14.25">
      <c r="A189" s="212"/>
      <c r="B189" s="224" t="s">
        <v>336</v>
      </c>
      <c r="C189" s="203" t="s">
        <v>335</v>
      </c>
      <c r="D189" s="204" t="s">
        <v>141</v>
      </c>
      <c r="E189" s="200">
        <v>1.05</v>
      </c>
      <c r="F189" s="165">
        <f>TRUNC(19.5,2)</f>
        <v>19.5</v>
      </c>
      <c r="G189" s="165">
        <f t="shared" si="5"/>
        <v>20.47</v>
      </c>
      <c r="H189" s="165"/>
      <c r="I189" s="213"/>
    </row>
    <row r="190" spans="1:9" s="167" customFormat="1" ht="14.25">
      <c r="A190" s="212"/>
      <c r="B190" s="224" t="s">
        <v>86</v>
      </c>
      <c r="C190" s="203" t="s">
        <v>224</v>
      </c>
      <c r="D190" s="204" t="s">
        <v>214</v>
      </c>
      <c r="E190" s="200">
        <v>0.4</v>
      </c>
      <c r="F190" s="165">
        <f>TRUNC(1.44,2)</f>
        <v>1.44</v>
      </c>
      <c r="G190" s="165">
        <f t="shared" si="5"/>
        <v>0.57</v>
      </c>
      <c r="H190" s="165"/>
      <c r="I190" s="213"/>
    </row>
    <row r="191" spans="1:9" s="167" customFormat="1" ht="28.5">
      <c r="A191" s="212"/>
      <c r="B191" s="224" t="s">
        <v>386</v>
      </c>
      <c r="C191" s="203" t="s">
        <v>387</v>
      </c>
      <c r="D191" s="204" t="s">
        <v>45</v>
      </c>
      <c r="E191" s="200">
        <v>0.5665000000000001</v>
      </c>
      <c r="F191" s="165">
        <f>TRUNC(13.08,2)</f>
        <v>13.08</v>
      </c>
      <c r="G191" s="165">
        <f t="shared" si="5"/>
        <v>7.4</v>
      </c>
      <c r="H191" s="165"/>
      <c r="I191" s="213"/>
    </row>
    <row r="192" spans="1:9" s="167" customFormat="1" ht="28.5">
      <c r="A192" s="212"/>
      <c r="B192" s="224" t="s">
        <v>400</v>
      </c>
      <c r="C192" s="203" t="s">
        <v>401</v>
      </c>
      <c r="D192" s="204" t="s">
        <v>45</v>
      </c>
      <c r="E192" s="200">
        <v>0.4635</v>
      </c>
      <c r="F192" s="165">
        <f>TRUNC(18.05,2)</f>
        <v>18.05</v>
      </c>
      <c r="G192" s="165">
        <f t="shared" si="5"/>
        <v>8.36</v>
      </c>
      <c r="H192" s="165"/>
      <c r="I192" s="213"/>
    </row>
    <row r="193" spans="1:9" s="167" customFormat="1" ht="14.25">
      <c r="A193" s="212"/>
      <c r="B193" s="224" t="s">
        <v>402</v>
      </c>
      <c r="C193" s="203" t="s">
        <v>403</v>
      </c>
      <c r="D193" s="204" t="s">
        <v>43</v>
      </c>
      <c r="E193" s="200">
        <v>0.006</v>
      </c>
      <c r="F193" s="165">
        <f>TRUNC(314.2639,2)</f>
        <v>314.26</v>
      </c>
      <c r="G193" s="165">
        <f t="shared" si="5"/>
        <v>1.88</v>
      </c>
      <c r="H193" s="165"/>
      <c r="I193" s="213"/>
    </row>
    <row r="194" spans="1:9" s="167" customFormat="1" ht="14.25">
      <c r="A194" s="212"/>
      <c r="B194" s="224" t="s">
        <v>398</v>
      </c>
      <c r="C194" s="203" t="s">
        <v>399</v>
      </c>
      <c r="D194" s="204" t="s">
        <v>43</v>
      </c>
      <c r="E194" s="200">
        <v>0.0005</v>
      </c>
      <c r="F194" s="165">
        <f>TRUNC(542.5016,2)</f>
        <v>542.5</v>
      </c>
      <c r="G194" s="165">
        <f t="shared" si="5"/>
        <v>0.27</v>
      </c>
      <c r="H194" s="165"/>
      <c r="I194" s="213"/>
    </row>
    <row r="195" spans="1:9" s="167" customFormat="1" ht="14.25">
      <c r="A195" s="214"/>
      <c r="B195" s="226"/>
      <c r="C195" s="215"/>
      <c r="D195" s="216"/>
      <c r="E195" s="217" t="s">
        <v>150</v>
      </c>
      <c r="F195" s="218"/>
      <c r="G195" s="218">
        <f>TRUNC(SUM(G189:G194),2)</f>
        <v>38.95</v>
      </c>
      <c r="H195" s="218"/>
      <c r="I195" s="219"/>
    </row>
    <row r="196" spans="1:14" s="167" customFormat="1" ht="28.5">
      <c r="A196" s="373" t="s">
        <v>751</v>
      </c>
      <c r="B196" s="374" t="s">
        <v>695</v>
      </c>
      <c r="C196" s="375" t="s">
        <v>186</v>
      </c>
      <c r="D196" s="376" t="s">
        <v>89</v>
      </c>
      <c r="E196" s="377">
        <v>931.65</v>
      </c>
      <c r="F196" s="274">
        <f>TRUNC(F197,2)</f>
        <v>24.39</v>
      </c>
      <c r="G196" s="274">
        <f>TRUNC(F196*1.2882,2)</f>
        <v>31.41</v>
      </c>
      <c r="H196" s="274">
        <f>TRUNC(F196*E196,2)</f>
        <v>22722.94</v>
      </c>
      <c r="I196" s="275">
        <f>TRUNC(E196*G196,2)</f>
        <v>29263.12</v>
      </c>
      <c r="J196" s="177"/>
      <c r="K196" s="178"/>
      <c r="L196" s="180"/>
      <c r="M196" s="180"/>
      <c r="N196" s="180"/>
    </row>
    <row r="197" spans="1:14" s="167" customFormat="1" ht="42.75">
      <c r="A197" s="234"/>
      <c r="B197" s="235" t="s">
        <v>696</v>
      </c>
      <c r="C197" s="236" t="s">
        <v>697</v>
      </c>
      <c r="D197" s="237" t="s">
        <v>142</v>
      </c>
      <c r="E197" s="238">
        <v>1</v>
      </c>
      <c r="F197" s="210">
        <f>G202</f>
        <v>24.39</v>
      </c>
      <c r="G197" s="210">
        <f>TRUNC(E197*F197,2)</f>
        <v>24.39</v>
      </c>
      <c r="H197" s="210"/>
      <c r="I197" s="211"/>
      <c r="J197" s="177"/>
      <c r="K197" s="178"/>
      <c r="L197" s="180"/>
      <c r="M197" s="180"/>
      <c r="N197" s="180"/>
    </row>
    <row r="198" spans="1:14" s="167" customFormat="1" ht="28.5">
      <c r="A198" s="239"/>
      <c r="B198" s="231" t="s">
        <v>386</v>
      </c>
      <c r="C198" s="232" t="s">
        <v>387</v>
      </c>
      <c r="D198" s="233" t="s">
        <v>45</v>
      </c>
      <c r="E198" s="193">
        <v>0.41200000000000003</v>
      </c>
      <c r="F198" s="165">
        <f>TRUNC(13.08,2)</f>
        <v>13.08</v>
      </c>
      <c r="G198" s="165">
        <f>TRUNC(E198*F198,2)</f>
        <v>5.38</v>
      </c>
      <c r="H198" s="165"/>
      <c r="I198" s="213"/>
      <c r="J198" s="177"/>
      <c r="K198" s="178"/>
      <c r="L198" s="180"/>
      <c r="M198" s="180"/>
      <c r="N198" s="180"/>
    </row>
    <row r="199" spans="1:14" s="167" customFormat="1" ht="14.25">
      <c r="A199" s="239"/>
      <c r="B199" s="231" t="s">
        <v>392</v>
      </c>
      <c r="C199" s="232" t="s">
        <v>393</v>
      </c>
      <c r="D199" s="233" t="s">
        <v>45</v>
      </c>
      <c r="E199" s="193">
        <v>0.41200000000000003</v>
      </c>
      <c r="F199" s="165">
        <f>TRUNC(18.05,2)</f>
        <v>18.05</v>
      </c>
      <c r="G199" s="165">
        <f>TRUNC(E199*F199,2)</f>
        <v>7.43</v>
      </c>
      <c r="H199" s="165"/>
      <c r="I199" s="213"/>
      <c r="J199" s="177"/>
      <c r="K199" s="178"/>
      <c r="L199" s="180"/>
      <c r="M199" s="180"/>
      <c r="N199" s="180"/>
    </row>
    <row r="200" spans="1:14" s="167" customFormat="1" ht="28.5">
      <c r="A200" s="239"/>
      <c r="B200" s="231" t="s">
        <v>573</v>
      </c>
      <c r="C200" s="232" t="s">
        <v>574</v>
      </c>
      <c r="D200" s="233" t="s">
        <v>142</v>
      </c>
      <c r="E200" s="193">
        <v>1</v>
      </c>
      <c r="F200" s="165">
        <f>TRUNC(4.5364,2)</f>
        <v>4.53</v>
      </c>
      <c r="G200" s="165">
        <f>TRUNC(E200*F200,2)</f>
        <v>4.53</v>
      </c>
      <c r="H200" s="165"/>
      <c r="I200" s="213"/>
      <c r="J200" s="177"/>
      <c r="K200" s="178"/>
      <c r="L200" s="180"/>
      <c r="M200" s="180"/>
      <c r="N200" s="180"/>
    </row>
    <row r="201" spans="1:14" s="167" customFormat="1" ht="14.25">
      <c r="A201" s="239"/>
      <c r="B201" s="231" t="s">
        <v>698</v>
      </c>
      <c r="C201" s="232" t="s">
        <v>699</v>
      </c>
      <c r="D201" s="233" t="s">
        <v>43</v>
      </c>
      <c r="E201" s="193">
        <v>0.03</v>
      </c>
      <c r="F201" s="165">
        <f>TRUNC(235.0135,2)</f>
        <v>235.01</v>
      </c>
      <c r="G201" s="165">
        <f>TRUNC(E201*F201,2)</f>
        <v>7.05</v>
      </c>
      <c r="H201" s="165"/>
      <c r="I201" s="213"/>
      <c r="J201" s="177"/>
      <c r="K201" s="178"/>
      <c r="L201" s="180"/>
      <c r="M201" s="180"/>
      <c r="N201" s="180"/>
    </row>
    <row r="202" spans="1:14" s="167" customFormat="1" ht="14.25">
      <c r="A202" s="240"/>
      <c r="B202" s="241"/>
      <c r="C202" s="242"/>
      <c r="D202" s="227"/>
      <c r="E202" s="228" t="s">
        <v>150</v>
      </c>
      <c r="F202" s="218"/>
      <c r="G202" s="218">
        <f>TRUNC(SUM(G198:G201),2)</f>
        <v>24.39</v>
      </c>
      <c r="H202" s="218"/>
      <c r="I202" s="219"/>
      <c r="J202" s="177"/>
      <c r="K202" s="178"/>
      <c r="L202" s="180"/>
      <c r="M202" s="180"/>
      <c r="N202" s="180"/>
    </row>
    <row r="203" spans="1:14" s="167" customFormat="1" ht="14.25">
      <c r="A203" s="373" t="s">
        <v>752</v>
      </c>
      <c r="B203" s="374" t="s">
        <v>753</v>
      </c>
      <c r="C203" s="375" t="s">
        <v>754</v>
      </c>
      <c r="D203" s="376" t="s">
        <v>142</v>
      </c>
      <c r="E203" s="377">
        <v>16.64</v>
      </c>
      <c r="F203" s="274">
        <f>TRUNC(F204,2)</f>
        <v>38.7</v>
      </c>
      <c r="G203" s="274">
        <f>TRUNC(F203*1.2882,2)</f>
        <v>49.85</v>
      </c>
      <c r="H203" s="274">
        <f>TRUNC(F203*E203,2)</f>
        <v>643.96</v>
      </c>
      <c r="I203" s="275">
        <f>TRUNC(E203*G203,2)</f>
        <v>829.5</v>
      </c>
      <c r="J203" s="177"/>
      <c r="K203" s="178"/>
      <c r="L203" s="180"/>
      <c r="M203" s="180"/>
      <c r="N203" s="180"/>
    </row>
    <row r="204" spans="1:14" s="167" customFormat="1" ht="14.25">
      <c r="A204" s="234"/>
      <c r="B204" s="235" t="s">
        <v>753</v>
      </c>
      <c r="C204" s="236" t="s">
        <v>754</v>
      </c>
      <c r="D204" s="237" t="s">
        <v>142</v>
      </c>
      <c r="E204" s="238">
        <v>1</v>
      </c>
      <c r="F204" s="210">
        <f>G212</f>
        <v>38.7</v>
      </c>
      <c r="G204" s="210">
        <f aca="true" t="shared" si="6" ref="G204:G211">TRUNC(E204*F204,2)</f>
        <v>38.7</v>
      </c>
      <c r="H204" s="210"/>
      <c r="I204" s="211"/>
      <c r="J204" s="177"/>
      <c r="K204" s="178"/>
      <c r="L204" s="180"/>
      <c r="M204" s="180"/>
      <c r="N204" s="180"/>
    </row>
    <row r="205" spans="1:14" s="167" customFormat="1" ht="14.25">
      <c r="A205" s="239"/>
      <c r="B205" s="231" t="s">
        <v>755</v>
      </c>
      <c r="C205" s="232" t="s">
        <v>756</v>
      </c>
      <c r="D205" s="233" t="s">
        <v>757</v>
      </c>
      <c r="E205" s="193">
        <v>0.0308</v>
      </c>
      <c r="F205" s="165">
        <f>TRUNC(18.93,2)</f>
        <v>18.93</v>
      </c>
      <c r="G205" s="165">
        <f t="shared" si="6"/>
        <v>0.58</v>
      </c>
      <c r="H205" s="165"/>
      <c r="I205" s="213"/>
      <c r="J205" s="177"/>
      <c r="K205" s="178"/>
      <c r="L205" s="180"/>
      <c r="M205" s="180"/>
      <c r="N205" s="180"/>
    </row>
    <row r="206" spans="1:14" s="167" customFormat="1" ht="14.25">
      <c r="A206" s="239"/>
      <c r="B206" s="231" t="s">
        <v>758</v>
      </c>
      <c r="C206" s="232" t="s">
        <v>759</v>
      </c>
      <c r="D206" s="233" t="s">
        <v>214</v>
      </c>
      <c r="E206" s="193">
        <v>0.0078</v>
      </c>
      <c r="F206" s="165">
        <f>TRUNC(12,2)</f>
        <v>12</v>
      </c>
      <c r="G206" s="165">
        <f t="shared" si="6"/>
        <v>0.09</v>
      </c>
      <c r="H206" s="165"/>
      <c r="I206" s="213"/>
      <c r="J206" s="177"/>
      <c r="K206" s="178"/>
      <c r="L206" s="180"/>
      <c r="M206" s="180"/>
      <c r="N206" s="180"/>
    </row>
    <row r="207" spans="1:14" s="167" customFormat="1" ht="28.5">
      <c r="A207" s="239"/>
      <c r="B207" s="231" t="s">
        <v>760</v>
      </c>
      <c r="C207" s="232" t="s">
        <v>761</v>
      </c>
      <c r="D207" s="233" t="s">
        <v>142</v>
      </c>
      <c r="E207" s="193">
        <v>1.074</v>
      </c>
      <c r="F207" s="165">
        <f>TRUNC(13.9,2)</f>
        <v>13.9</v>
      </c>
      <c r="G207" s="165">
        <f t="shared" si="6"/>
        <v>14.92</v>
      </c>
      <c r="H207" s="165"/>
      <c r="I207" s="213"/>
      <c r="J207" s="177"/>
      <c r="K207" s="178"/>
      <c r="L207" s="180"/>
      <c r="M207" s="180"/>
      <c r="N207" s="180"/>
    </row>
    <row r="208" spans="1:14" s="167" customFormat="1" ht="14.25">
      <c r="A208" s="239"/>
      <c r="B208" s="231" t="s">
        <v>762</v>
      </c>
      <c r="C208" s="232" t="s">
        <v>763</v>
      </c>
      <c r="D208" s="233" t="s">
        <v>214</v>
      </c>
      <c r="E208" s="193">
        <v>0.9964</v>
      </c>
      <c r="F208" s="165">
        <f>TRUNC(0.61,2)</f>
        <v>0.61</v>
      </c>
      <c r="G208" s="165">
        <f t="shared" si="6"/>
        <v>0.6</v>
      </c>
      <c r="H208" s="165"/>
      <c r="I208" s="213"/>
      <c r="J208" s="177"/>
      <c r="K208" s="178"/>
      <c r="L208" s="180"/>
      <c r="M208" s="180"/>
      <c r="N208" s="180"/>
    </row>
    <row r="209" spans="1:14" s="167" customFormat="1" ht="14.25">
      <c r="A209" s="239"/>
      <c r="B209" s="231" t="s">
        <v>764</v>
      </c>
      <c r="C209" s="232" t="s">
        <v>765</v>
      </c>
      <c r="D209" s="233" t="s">
        <v>214</v>
      </c>
      <c r="E209" s="193">
        <v>0.025</v>
      </c>
      <c r="F209" s="165">
        <f>TRUNC(18.28,2)</f>
        <v>18.28</v>
      </c>
      <c r="G209" s="165">
        <f t="shared" si="6"/>
        <v>0.45</v>
      </c>
      <c r="H209" s="165"/>
      <c r="I209" s="213"/>
      <c r="J209" s="177"/>
      <c r="K209" s="178"/>
      <c r="L209" s="180"/>
      <c r="M209" s="180"/>
      <c r="N209" s="180"/>
    </row>
    <row r="210" spans="1:14" s="167" customFormat="1" ht="14.25">
      <c r="A210" s="239"/>
      <c r="B210" s="231" t="s">
        <v>534</v>
      </c>
      <c r="C210" s="232" t="s">
        <v>535</v>
      </c>
      <c r="D210" s="233" t="s">
        <v>45</v>
      </c>
      <c r="E210" s="193">
        <v>0.3156</v>
      </c>
      <c r="F210" s="165">
        <f>TRUNC(19.85,2)</f>
        <v>19.85</v>
      </c>
      <c r="G210" s="165">
        <f t="shared" si="6"/>
        <v>6.26</v>
      </c>
      <c r="H210" s="165"/>
      <c r="I210" s="213"/>
      <c r="J210" s="177"/>
      <c r="K210" s="178"/>
      <c r="L210" s="180"/>
      <c r="M210" s="180"/>
      <c r="N210" s="180"/>
    </row>
    <row r="211" spans="1:14" s="167" customFormat="1" ht="14.25">
      <c r="A211" s="239"/>
      <c r="B211" s="231" t="s">
        <v>766</v>
      </c>
      <c r="C211" s="232" t="s">
        <v>767</v>
      </c>
      <c r="D211" s="233" t="s">
        <v>45</v>
      </c>
      <c r="E211" s="193">
        <v>0.6313</v>
      </c>
      <c r="F211" s="165">
        <f>TRUNC(25.04,2)</f>
        <v>25.04</v>
      </c>
      <c r="G211" s="165">
        <f t="shared" si="6"/>
        <v>15.8</v>
      </c>
      <c r="H211" s="165"/>
      <c r="I211" s="213"/>
      <c r="J211" s="177"/>
      <c r="K211" s="178"/>
      <c r="L211" s="180"/>
      <c r="M211" s="180"/>
      <c r="N211" s="180"/>
    </row>
    <row r="212" spans="1:14" s="167" customFormat="1" ht="14.25">
      <c r="A212" s="239"/>
      <c r="B212" s="231"/>
      <c r="C212" s="232"/>
      <c r="D212" s="233"/>
      <c r="E212" s="193" t="s">
        <v>150</v>
      </c>
      <c r="F212" s="165"/>
      <c r="G212" s="165">
        <f>TRUNC(SUM(G205:G211),2)</f>
        <v>38.7</v>
      </c>
      <c r="H212" s="165"/>
      <c r="I212" s="213"/>
      <c r="J212" s="177"/>
      <c r="K212" s="178"/>
      <c r="L212" s="180"/>
      <c r="M212" s="180"/>
      <c r="N212" s="180"/>
    </row>
    <row r="213" spans="1:14" s="167" customFormat="1" ht="42.75">
      <c r="A213" s="388" t="s">
        <v>822</v>
      </c>
      <c r="B213" s="389" t="s">
        <v>823</v>
      </c>
      <c r="C213" s="321" t="s">
        <v>824</v>
      </c>
      <c r="D213" s="378" t="s">
        <v>142</v>
      </c>
      <c r="E213" s="309">
        <v>35.19</v>
      </c>
      <c r="F213" s="257">
        <f>TRUNC(F214,2)</f>
        <v>73.74</v>
      </c>
      <c r="G213" s="257">
        <f>TRUNC(F213*1.2882,2)</f>
        <v>94.99</v>
      </c>
      <c r="H213" s="257">
        <f>TRUNC(F213*E213,2)</f>
        <v>2594.91</v>
      </c>
      <c r="I213" s="258">
        <f>TRUNC(E213*G213,2)</f>
        <v>3342.69</v>
      </c>
      <c r="J213" s="177"/>
      <c r="K213" s="178"/>
      <c r="L213" s="180"/>
      <c r="M213" s="180"/>
      <c r="N213" s="180"/>
    </row>
    <row r="214" spans="1:14" s="167" customFormat="1" ht="42.75">
      <c r="A214" s="234"/>
      <c r="B214" s="235" t="s">
        <v>823</v>
      </c>
      <c r="C214" s="236" t="s">
        <v>824</v>
      </c>
      <c r="D214" s="237" t="s">
        <v>142</v>
      </c>
      <c r="E214" s="238">
        <v>1</v>
      </c>
      <c r="F214" s="210">
        <f>G223</f>
        <v>73.74</v>
      </c>
      <c r="G214" s="210">
        <f aca="true" t="shared" si="7" ref="G214:G222">TRUNC(E214*F214,2)</f>
        <v>73.74</v>
      </c>
      <c r="H214" s="210"/>
      <c r="I214" s="211"/>
      <c r="J214" s="177"/>
      <c r="K214" s="178"/>
      <c r="L214" s="180"/>
      <c r="M214" s="180"/>
      <c r="N214" s="180"/>
    </row>
    <row r="215" spans="1:14" s="167" customFormat="1" ht="28.5">
      <c r="A215" s="239"/>
      <c r="B215" s="231" t="s">
        <v>825</v>
      </c>
      <c r="C215" s="232" t="s">
        <v>826</v>
      </c>
      <c r="D215" s="233" t="s">
        <v>142</v>
      </c>
      <c r="E215" s="193">
        <v>1.1224</v>
      </c>
      <c r="F215" s="165">
        <f>TRUNC(20.49,2)</f>
        <v>20.49</v>
      </c>
      <c r="G215" s="165">
        <f t="shared" si="7"/>
        <v>22.99</v>
      </c>
      <c r="H215" s="165"/>
      <c r="I215" s="213"/>
      <c r="J215" s="177"/>
      <c r="K215" s="178"/>
      <c r="L215" s="180"/>
      <c r="M215" s="180"/>
      <c r="N215" s="180"/>
    </row>
    <row r="216" spans="1:14" s="167" customFormat="1" ht="28.5">
      <c r="A216" s="239"/>
      <c r="B216" s="231" t="s">
        <v>827</v>
      </c>
      <c r="C216" s="232" t="s">
        <v>828</v>
      </c>
      <c r="D216" s="233" t="s">
        <v>141</v>
      </c>
      <c r="E216" s="193">
        <v>0.2</v>
      </c>
      <c r="F216" s="165">
        <f>TRUNC(1.46,2)</f>
        <v>1.46</v>
      </c>
      <c r="G216" s="165">
        <f t="shared" si="7"/>
        <v>0.29</v>
      </c>
      <c r="H216" s="165"/>
      <c r="I216" s="213"/>
      <c r="J216" s="177"/>
      <c r="K216" s="178"/>
      <c r="L216" s="180"/>
      <c r="M216" s="180"/>
      <c r="N216" s="180"/>
    </row>
    <row r="217" spans="1:14" s="167" customFormat="1" ht="28.5">
      <c r="A217" s="239"/>
      <c r="B217" s="231" t="s">
        <v>829</v>
      </c>
      <c r="C217" s="232" t="s">
        <v>830</v>
      </c>
      <c r="D217" s="233" t="s">
        <v>141</v>
      </c>
      <c r="E217" s="193">
        <v>0.25</v>
      </c>
      <c r="F217" s="165">
        <f>TRUNC(7.05,2)</f>
        <v>7.05</v>
      </c>
      <c r="G217" s="165">
        <f t="shared" si="7"/>
        <v>1.76</v>
      </c>
      <c r="H217" s="165"/>
      <c r="I217" s="213"/>
      <c r="J217" s="177"/>
      <c r="K217" s="178"/>
      <c r="L217" s="180"/>
      <c r="M217" s="180"/>
      <c r="N217" s="180"/>
    </row>
    <row r="218" spans="1:14" s="167" customFormat="1" ht="14.25">
      <c r="A218" s="239"/>
      <c r="B218" s="231" t="s">
        <v>831</v>
      </c>
      <c r="C218" s="232" t="s">
        <v>832</v>
      </c>
      <c r="D218" s="233" t="s">
        <v>142</v>
      </c>
      <c r="E218" s="193">
        <v>1.128</v>
      </c>
      <c r="F218" s="165">
        <f>TRUNC(0.66,2)</f>
        <v>0.66</v>
      </c>
      <c r="G218" s="165">
        <f t="shared" si="7"/>
        <v>0.74</v>
      </c>
      <c r="H218" s="165"/>
      <c r="I218" s="213"/>
      <c r="J218" s="177"/>
      <c r="K218" s="178"/>
      <c r="L218" s="180"/>
      <c r="M218" s="180"/>
      <c r="N218" s="180"/>
    </row>
    <row r="219" spans="1:14" s="167" customFormat="1" ht="14.25">
      <c r="A219" s="239"/>
      <c r="B219" s="231" t="s">
        <v>534</v>
      </c>
      <c r="C219" s="232" t="s">
        <v>535</v>
      </c>
      <c r="D219" s="233" t="s">
        <v>45</v>
      </c>
      <c r="E219" s="193">
        <v>0.4572</v>
      </c>
      <c r="F219" s="165">
        <f>TRUNC(19.85,2)</f>
        <v>19.85</v>
      </c>
      <c r="G219" s="165">
        <f t="shared" si="7"/>
        <v>9.07</v>
      </c>
      <c r="H219" s="165"/>
      <c r="I219" s="213"/>
      <c r="J219" s="177"/>
      <c r="K219" s="178"/>
      <c r="L219" s="180"/>
      <c r="M219" s="180"/>
      <c r="N219" s="180"/>
    </row>
    <row r="220" spans="1:14" s="167" customFormat="1" ht="14.25">
      <c r="A220" s="239"/>
      <c r="B220" s="231" t="s">
        <v>536</v>
      </c>
      <c r="C220" s="232" t="s">
        <v>537</v>
      </c>
      <c r="D220" s="233" t="s">
        <v>45</v>
      </c>
      <c r="E220" s="193">
        <v>0.2767</v>
      </c>
      <c r="F220" s="165">
        <f>TRUNC(25.18,2)</f>
        <v>25.18</v>
      </c>
      <c r="G220" s="165">
        <f t="shared" si="7"/>
        <v>6.96</v>
      </c>
      <c r="H220" s="165"/>
      <c r="I220" s="213"/>
      <c r="J220" s="177"/>
      <c r="K220" s="178"/>
      <c r="L220" s="180"/>
      <c r="M220" s="180"/>
      <c r="N220" s="180"/>
    </row>
    <row r="221" spans="1:14" s="167" customFormat="1" ht="14.25">
      <c r="A221" s="239"/>
      <c r="B221" s="231" t="s">
        <v>540</v>
      </c>
      <c r="C221" s="232" t="s">
        <v>541</v>
      </c>
      <c r="D221" s="233" t="s">
        <v>45</v>
      </c>
      <c r="E221" s="193">
        <v>0.1805</v>
      </c>
      <c r="F221" s="165">
        <f>TRUNC(24.72,2)</f>
        <v>24.72</v>
      </c>
      <c r="G221" s="165">
        <f t="shared" si="7"/>
        <v>4.46</v>
      </c>
      <c r="H221" s="165"/>
      <c r="I221" s="213"/>
      <c r="J221" s="177"/>
      <c r="K221" s="178"/>
      <c r="L221" s="180"/>
      <c r="M221" s="180"/>
      <c r="N221" s="180"/>
    </row>
    <row r="222" spans="1:14" s="167" customFormat="1" ht="28.5">
      <c r="A222" s="239"/>
      <c r="B222" s="231" t="s">
        <v>833</v>
      </c>
      <c r="C222" s="232" t="s">
        <v>834</v>
      </c>
      <c r="D222" s="233" t="s">
        <v>43</v>
      </c>
      <c r="E222" s="193">
        <v>0.097</v>
      </c>
      <c r="F222" s="165">
        <f>TRUNC(283.28,2)</f>
        <v>283.28</v>
      </c>
      <c r="G222" s="165">
        <f t="shared" si="7"/>
        <v>27.47</v>
      </c>
      <c r="H222" s="165"/>
      <c r="I222" s="213"/>
      <c r="J222" s="177"/>
      <c r="K222" s="178"/>
      <c r="L222" s="180"/>
      <c r="M222" s="180"/>
      <c r="N222" s="180"/>
    </row>
    <row r="223" spans="1:14" s="167" customFormat="1" ht="14.25">
      <c r="A223" s="240"/>
      <c r="B223" s="241"/>
      <c r="C223" s="242"/>
      <c r="D223" s="227"/>
      <c r="E223" s="228" t="s">
        <v>150</v>
      </c>
      <c r="F223" s="218"/>
      <c r="G223" s="218">
        <f>TRUNC(SUM(G215:G222),2)</f>
        <v>73.74</v>
      </c>
      <c r="H223" s="218"/>
      <c r="I223" s="219"/>
      <c r="J223" s="177"/>
      <c r="K223" s="178"/>
      <c r="L223" s="180"/>
      <c r="M223" s="180"/>
      <c r="N223" s="180"/>
    </row>
    <row r="224" spans="1:9" s="167" customFormat="1" ht="15">
      <c r="A224" s="202" t="s">
        <v>491</v>
      </c>
      <c r="B224" s="229"/>
      <c r="C224" s="371" t="s">
        <v>157</v>
      </c>
      <c r="D224" s="229"/>
      <c r="E224" s="371"/>
      <c r="F224" s="371"/>
      <c r="G224" s="371"/>
      <c r="H224" s="230">
        <f>H118+H125+H135+H143+H150+H161+H171+H181+H187+H196+H203+H213</f>
        <v>73723.05</v>
      </c>
      <c r="I224" s="230">
        <f>I118+I125+I135+I143+I150+I161+I171+I181+I187+I196+I203+I213</f>
        <v>94954.98000000001</v>
      </c>
    </row>
    <row r="225" spans="1:9" s="22" customFormat="1" ht="15">
      <c r="A225" s="50" t="s">
        <v>158</v>
      </c>
      <c r="B225" s="93"/>
      <c r="C225" s="51" t="s">
        <v>337</v>
      </c>
      <c r="D225" s="52"/>
      <c r="E225" s="53"/>
      <c r="F225" s="54"/>
      <c r="G225" s="54"/>
      <c r="H225" s="54"/>
      <c r="I225" s="53"/>
    </row>
    <row r="226" spans="1:9" s="196" customFormat="1" ht="57">
      <c r="A226" s="253" t="s">
        <v>145</v>
      </c>
      <c r="B226" s="372" t="s">
        <v>406</v>
      </c>
      <c r="C226" s="255" t="s">
        <v>342</v>
      </c>
      <c r="D226" s="276" t="s">
        <v>148</v>
      </c>
      <c r="E226" s="277">
        <v>5</v>
      </c>
      <c r="F226" s="257">
        <f>TRUNC(I232,2)</f>
        <v>204.2</v>
      </c>
      <c r="G226" s="257">
        <f>TRUNC(F226*1.2882,2)</f>
        <v>263.05</v>
      </c>
      <c r="H226" s="257">
        <f>TRUNC(F226*E226,2)</f>
        <v>1021</v>
      </c>
      <c r="I226" s="258">
        <f>TRUNC(E226*G226,2)</f>
        <v>1315.25</v>
      </c>
    </row>
    <row r="227" spans="1:9" s="77" customFormat="1" ht="28.5">
      <c r="A227" s="35"/>
      <c r="B227" s="92" t="s">
        <v>325</v>
      </c>
      <c r="C227" s="44" t="s">
        <v>324</v>
      </c>
      <c r="D227" s="106" t="s">
        <v>148</v>
      </c>
      <c r="E227" s="37">
        <v>1</v>
      </c>
      <c r="F227" s="26">
        <v>73.38</v>
      </c>
      <c r="G227" s="26"/>
      <c r="H227" s="26"/>
      <c r="I227" s="27">
        <f>TRUNC(E227*F227,2)</f>
        <v>73.38</v>
      </c>
    </row>
    <row r="228" spans="1:9" s="77" customFormat="1" ht="14.25">
      <c r="A228" s="35"/>
      <c r="B228" s="92" t="s">
        <v>15</v>
      </c>
      <c r="C228" s="44" t="s">
        <v>578</v>
      </c>
      <c r="D228" s="106" t="s">
        <v>148</v>
      </c>
      <c r="E228" s="37">
        <v>1</v>
      </c>
      <c r="F228" s="26">
        <v>24.24</v>
      </c>
      <c r="G228" s="26"/>
      <c r="H228" s="26"/>
      <c r="I228" s="27">
        <f>TRUNC(E228*F228,2)</f>
        <v>24.24</v>
      </c>
    </row>
    <row r="229" spans="1:9" s="77" customFormat="1" ht="14.25">
      <c r="A229" s="35"/>
      <c r="B229" s="92" t="s">
        <v>323</v>
      </c>
      <c r="C229" s="44" t="s">
        <v>579</v>
      </c>
      <c r="D229" s="106" t="s">
        <v>148</v>
      </c>
      <c r="E229" s="37">
        <v>1</v>
      </c>
      <c r="F229" s="26">
        <v>86.65</v>
      </c>
      <c r="G229" s="26"/>
      <c r="H229" s="26"/>
      <c r="I229" s="27">
        <f>TRUNC(E229*F229,2)</f>
        <v>86.65</v>
      </c>
    </row>
    <row r="230" spans="1:9" s="77" customFormat="1" ht="14.25">
      <c r="A230" s="35"/>
      <c r="B230" s="92" t="s">
        <v>66</v>
      </c>
      <c r="C230" s="44" t="s">
        <v>542</v>
      </c>
      <c r="D230" s="106" t="s">
        <v>148</v>
      </c>
      <c r="E230" s="37">
        <v>1</v>
      </c>
      <c r="F230" s="26">
        <v>2.02</v>
      </c>
      <c r="G230" s="26"/>
      <c r="H230" s="26"/>
      <c r="I230" s="27">
        <f>TRUNC(E230*F230,2)</f>
        <v>2.02</v>
      </c>
    </row>
    <row r="231" spans="1:9" s="77" customFormat="1" ht="14.25">
      <c r="A231" s="35"/>
      <c r="B231" s="92" t="s">
        <v>322</v>
      </c>
      <c r="C231" s="44" t="s">
        <v>580</v>
      </c>
      <c r="D231" s="106" t="s">
        <v>148</v>
      </c>
      <c r="E231" s="37">
        <v>1</v>
      </c>
      <c r="F231" s="26">
        <v>17.91</v>
      </c>
      <c r="G231" s="26"/>
      <c r="H231" s="26"/>
      <c r="I231" s="27">
        <f>TRUNC(E231*F231,2)</f>
        <v>17.91</v>
      </c>
    </row>
    <row r="232" spans="1:9" s="77" customFormat="1" ht="14.25">
      <c r="A232" s="35"/>
      <c r="B232" s="92"/>
      <c r="C232" s="44"/>
      <c r="D232" s="106"/>
      <c r="E232" s="37" t="s">
        <v>150</v>
      </c>
      <c r="F232" s="26"/>
      <c r="G232" s="26"/>
      <c r="H232" s="26"/>
      <c r="I232" s="27">
        <f>TRUNC(SUM(I227:I231),2)</f>
        <v>204.2</v>
      </c>
    </row>
    <row r="233" spans="1:9" s="196" customFormat="1" ht="28.5">
      <c r="A233" s="253" t="s">
        <v>14</v>
      </c>
      <c r="B233" s="372" t="s">
        <v>667</v>
      </c>
      <c r="C233" s="255" t="s">
        <v>668</v>
      </c>
      <c r="D233" s="276" t="s">
        <v>148</v>
      </c>
      <c r="E233" s="277">
        <v>2</v>
      </c>
      <c r="F233" s="257">
        <f>F234</f>
        <v>129.95</v>
      </c>
      <c r="G233" s="257">
        <f>TRUNC(F233*1.2882,2)</f>
        <v>167.4</v>
      </c>
      <c r="H233" s="257">
        <f>TRUNC(F233*E233,2)</f>
        <v>259.9</v>
      </c>
      <c r="I233" s="258">
        <f>TRUNC(E233*G233,2)</f>
        <v>334.8</v>
      </c>
    </row>
    <row r="234" spans="1:9" s="77" customFormat="1" ht="28.5">
      <c r="A234" s="35"/>
      <c r="B234" s="92" t="s">
        <v>667</v>
      </c>
      <c r="C234" s="44" t="s">
        <v>668</v>
      </c>
      <c r="D234" s="106" t="s">
        <v>148</v>
      </c>
      <c r="E234" s="37">
        <v>1</v>
      </c>
      <c r="F234" s="26">
        <f>G240</f>
        <v>129.95</v>
      </c>
      <c r="G234" s="26">
        <f aca="true" t="shared" si="8" ref="G234:G239">TRUNC(E234*F234,2)</f>
        <v>129.95</v>
      </c>
      <c r="H234" s="26"/>
      <c r="I234" s="27"/>
    </row>
    <row r="235" spans="1:9" s="77" customFormat="1" ht="14.25">
      <c r="A235" s="35"/>
      <c r="B235" s="92" t="s">
        <v>669</v>
      </c>
      <c r="C235" s="44" t="s">
        <v>670</v>
      </c>
      <c r="D235" s="106" t="s">
        <v>214</v>
      </c>
      <c r="E235" s="37">
        <v>0.0507</v>
      </c>
      <c r="F235" s="26">
        <f>TRUNC(44.3,2)</f>
        <v>44.3</v>
      </c>
      <c r="G235" s="26">
        <f t="shared" si="8"/>
        <v>2.24</v>
      </c>
      <c r="H235" s="26"/>
      <c r="I235" s="27"/>
    </row>
    <row r="236" spans="1:9" s="77" customFormat="1" ht="14.25">
      <c r="A236" s="35"/>
      <c r="B236" s="92" t="s">
        <v>671</v>
      </c>
      <c r="C236" s="44" t="s">
        <v>672</v>
      </c>
      <c r="D236" s="106" t="s">
        <v>148</v>
      </c>
      <c r="E236" s="37">
        <v>1</v>
      </c>
      <c r="F236" s="26">
        <f>TRUNC(91.3,2)</f>
        <v>91.3</v>
      </c>
      <c r="G236" s="26">
        <f t="shared" si="8"/>
        <v>91.3</v>
      </c>
      <c r="H236" s="26"/>
      <c r="I236" s="27"/>
    </row>
    <row r="237" spans="1:9" s="77" customFormat="1" ht="28.5">
      <c r="A237" s="35"/>
      <c r="B237" s="92" t="s">
        <v>673</v>
      </c>
      <c r="C237" s="44" t="s">
        <v>674</v>
      </c>
      <c r="D237" s="106" t="s">
        <v>148</v>
      </c>
      <c r="E237" s="37">
        <v>2</v>
      </c>
      <c r="F237" s="26">
        <f>TRUNC(11.55,2)</f>
        <v>11.55</v>
      </c>
      <c r="G237" s="26">
        <f t="shared" si="8"/>
        <v>23.1</v>
      </c>
      <c r="H237" s="26"/>
      <c r="I237" s="27"/>
    </row>
    <row r="238" spans="1:9" s="77" customFormat="1" ht="14.25">
      <c r="A238" s="35"/>
      <c r="B238" s="92" t="s">
        <v>534</v>
      </c>
      <c r="C238" s="44" t="s">
        <v>535</v>
      </c>
      <c r="D238" s="106" t="s">
        <v>45</v>
      </c>
      <c r="E238" s="37">
        <v>0.19</v>
      </c>
      <c r="F238" s="26">
        <f>TRUNC(19.85,2)</f>
        <v>19.85</v>
      </c>
      <c r="G238" s="26">
        <f t="shared" si="8"/>
        <v>3.77</v>
      </c>
      <c r="H238" s="26"/>
      <c r="I238" s="27"/>
    </row>
    <row r="239" spans="1:9" s="77" customFormat="1" ht="14.25">
      <c r="A239" s="35"/>
      <c r="B239" s="92" t="s">
        <v>675</v>
      </c>
      <c r="C239" s="44" t="s">
        <v>676</v>
      </c>
      <c r="D239" s="106" t="s">
        <v>45</v>
      </c>
      <c r="E239" s="37">
        <v>0.39</v>
      </c>
      <c r="F239" s="26">
        <f>TRUNC(24.48,2)</f>
        <v>24.48</v>
      </c>
      <c r="G239" s="26">
        <f t="shared" si="8"/>
        <v>9.54</v>
      </c>
      <c r="H239" s="26"/>
      <c r="I239" s="27"/>
    </row>
    <row r="240" spans="1:9" s="77" customFormat="1" ht="14.25">
      <c r="A240" s="35"/>
      <c r="B240" s="92"/>
      <c r="C240" s="44"/>
      <c r="D240" s="106"/>
      <c r="E240" s="37" t="s">
        <v>150</v>
      </c>
      <c r="F240" s="26"/>
      <c r="G240" s="26">
        <f>TRUNC(SUM(G235:G239),2)</f>
        <v>129.95</v>
      </c>
      <c r="H240" s="26"/>
      <c r="I240" s="27"/>
    </row>
    <row r="241" spans="1:9" s="196" customFormat="1" ht="42.75">
      <c r="A241" s="253" t="s">
        <v>68</v>
      </c>
      <c r="B241" s="254" t="s">
        <v>407</v>
      </c>
      <c r="C241" s="255" t="s">
        <v>343</v>
      </c>
      <c r="D241" s="276" t="s">
        <v>148</v>
      </c>
      <c r="E241" s="277">
        <v>2</v>
      </c>
      <c r="F241" s="257">
        <f>TRUNC(I244,2)</f>
        <v>438.81</v>
      </c>
      <c r="G241" s="257">
        <f>TRUNC(F241*1.2882,2)</f>
        <v>565.27</v>
      </c>
      <c r="H241" s="257">
        <f>TRUNC(F241*E241,2)</f>
        <v>877.62</v>
      </c>
      <c r="I241" s="258">
        <f>TRUNC(E241*G241,2)</f>
        <v>1130.54</v>
      </c>
    </row>
    <row r="242" spans="1:9" s="77" customFormat="1" ht="28.5">
      <c r="A242" s="35"/>
      <c r="B242" s="85" t="s">
        <v>228</v>
      </c>
      <c r="C242" s="44" t="s">
        <v>227</v>
      </c>
      <c r="D242" s="106" t="s">
        <v>148</v>
      </c>
      <c r="E242" s="37">
        <v>1</v>
      </c>
      <c r="F242" s="26">
        <v>437.59</v>
      </c>
      <c r="G242" s="26"/>
      <c r="H242" s="26"/>
      <c r="I242" s="27">
        <f>TRUNC(E242*F242,2)</f>
        <v>437.59</v>
      </c>
    </row>
    <row r="243" spans="1:9" s="77" customFormat="1" ht="14.25">
      <c r="A243" s="35"/>
      <c r="B243" s="85" t="s">
        <v>113</v>
      </c>
      <c r="C243" s="44" t="s">
        <v>226</v>
      </c>
      <c r="D243" s="106" t="s">
        <v>148</v>
      </c>
      <c r="E243" s="37">
        <v>1</v>
      </c>
      <c r="F243" s="26">
        <v>1.22</v>
      </c>
      <c r="G243" s="26"/>
      <c r="H243" s="26"/>
      <c r="I243" s="27">
        <f>TRUNC(E243*F243,2)</f>
        <v>1.22</v>
      </c>
    </row>
    <row r="244" spans="1:9" s="77" customFormat="1" ht="14.25">
      <c r="A244" s="35"/>
      <c r="B244" s="85"/>
      <c r="C244" s="44"/>
      <c r="D244" s="106"/>
      <c r="E244" s="37" t="s">
        <v>150</v>
      </c>
      <c r="F244" s="26"/>
      <c r="G244" s="26"/>
      <c r="H244" s="26"/>
      <c r="I244" s="27">
        <f>TRUNC(SUM(I242:I243),2)</f>
        <v>438.81</v>
      </c>
    </row>
    <row r="245" spans="1:9" s="196" customFormat="1" ht="42.75">
      <c r="A245" s="253" t="s">
        <v>69</v>
      </c>
      <c r="B245" s="254" t="s">
        <v>661</v>
      </c>
      <c r="C245" s="255" t="s">
        <v>662</v>
      </c>
      <c r="D245" s="276" t="s">
        <v>148</v>
      </c>
      <c r="E245" s="277">
        <v>3</v>
      </c>
      <c r="F245" s="257">
        <f>F246</f>
        <v>389.92</v>
      </c>
      <c r="G245" s="257">
        <f>TRUNC(F245*1.2882,2)</f>
        <v>502.29</v>
      </c>
      <c r="H245" s="257">
        <f>TRUNC(F245*E245,2)</f>
        <v>1169.76</v>
      </c>
      <c r="I245" s="258">
        <f>TRUNC(E245*G245,2)</f>
        <v>1506.87</v>
      </c>
    </row>
    <row r="246" spans="1:9" s="77" customFormat="1" ht="42.75">
      <c r="A246" s="35"/>
      <c r="B246" s="85" t="s">
        <v>661</v>
      </c>
      <c r="C246" s="44" t="s">
        <v>662</v>
      </c>
      <c r="D246" s="106" t="s">
        <v>148</v>
      </c>
      <c r="E246" s="37">
        <v>1</v>
      </c>
      <c r="F246" s="26">
        <f>TRUNC(389.92,2)</f>
        <v>389.92</v>
      </c>
      <c r="G246" s="26">
        <f>TRUNC(E246*F246,2)</f>
        <v>389.92</v>
      </c>
      <c r="H246" s="26"/>
      <c r="I246" s="27"/>
    </row>
    <row r="247" spans="1:9" s="77" customFormat="1" ht="28.5">
      <c r="A247" s="35"/>
      <c r="B247" s="85" t="s">
        <v>663</v>
      </c>
      <c r="C247" s="44" t="s">
        <v>664</v>
      </c>
      <c r="D247" s="106" t="s">
        <v>148</v>
      </c>
      <c r="E247" s="37">
        <v>1</v>
      </c>
      <c r="F247" s="26">
        <f>TRUNC(377.9,2)</f>
        <v>377.9</v>
      </c>
      <c r="G247" s="26">
        <f>TRUNC(E247*F247,2)</f>
        <v>377.9</v>
      </c>
      <c r="H247" s="26"/>
      <c r="I247" s="27"/>
    </row>
    <row r="248" spans="1:9" s="77" customFormat="1" ht="14.25">
      <c r="A248" s="35"/>
      <c r="B248" s="85" t="s">
        <v>113</v>
      </c>
      <c r="C248" s="44" t="s">
        <v>226</v>
      </c>
      <c r="D248" s="106" t="s">
        <v>148</v>
      </c>
      <c r="E248" s="37">
        <v>1</v>
      </c>
      <c r="F248" s="26">
        <f>TRUNC(1.22,2)</f>
        <v>1.22</v>
      </c>
      <c r="G248" s="26">
        <f>TRUNC(E248*F248,2)</f>
        <v>1.22</v>
      </c>
      <c r="H248" s="26"/>
      <c r="I248" s="27"/>
    </row>
    <row r="249" spans="1:9" s="77" customFormat="1" ht="14.25">
      <c r="A249" s="35"/>
      <c r="B249" s="85" t="s">
        <v>665</v>
      </c>
      <c r="C249" s="44" t="s">
        <v>666</v>
      </c>
      <c r="D249" s="106" t="s">
        <v>148</v>
      </c>
      <c r="E249" s="37">
        <v>1</v>
      </c>
      <c r="F249" s="26">
        <f>TRUNC(10.8,2)</f>
        <v>10.8</v>
      </c>
      <c r="G249" s="26">
        <f>TRUNC(E249*F249,2)</f>
        <v>10.8</v>
      </c>
      <c r="H249" s="26"/>
      <c r="I249" s="27"/>
    </row>
    <row r="250" spans="1:9" s="77" customFormat="1" ht="14.25">
      <c r="A250" s="35"/>
      <c r="B250" s="85"/>
      <c r="C250" s="44"/>
      <c r="D250" s="106"/>
      <c r="E250" s="37" t="s">
        <v>150</v>
      </c>
      <c r="F250" s="26"/>
      <c r="G250" s="26">
        <f>TRUNC(SUM(G247:G249),2)</f>
        <v>389.92</v>
      </c>
      <c r="H250" s="26"/>
      <c r="I250" s="27"/>
    </row>
    <row r="251" spans="1:9" s="196" customFormat="1" ht="85.5">
      <c r="A251" s="253" t="s">
        <v>70</v>
      </c>
      <c r="B251" s="254" t="s">
        <v>543</v>
      </c>
      <c r="C251" s="255" t="s">
        <v>544</v>
      </c>
      <c r="D251" s="276" t="s">
        <v>148</v>
      </c>
      <c r="E251" s="277">
        <v>5</v>
      </c>
      <c r="F251" s="257">
        <f>F252</f>
        <v>252.82</v>
      </c>
      <c r="G251" s="257">
        <f>TRUNC(F251*1.2882,2)</f>
        <v>325.68</v>
      </c>
      <c r="H251" s="257">
        <f>TRUNC(F251*E251,2)</f>
        <v>1264.1</v>
      </c>
      <c r="I251" s="258">
        <f>TRUNC(E251*G251,2)</f>
        <v>1628.4</v>
      </c>
    </row>
    <row r="252" spans="1:9" s="77" customFormat="1" ht="85.5">
      <c r="A252" s="35"/>
      <c r="B252" s="85" t="s">
        <v>543</v>
      </c>
      <c r="C252" s="44" t="s">
        <v>544</v>
      </c>
      <c r="D252" s="106" t="s">
        <v>148</v>
      </c>
      <c r="E252" s="37">
        <v>1</v>
      </c>
      <c r="F252" s="26">
        <f>G267</f>
        <v>252.82</v>
      </c>
      <c r="G252" s="26">
        <f aca="true" t="shared" si="9" ref="G252:G266">TRUNC(E252*F252,2)</f>
        <v>252.82</v>
      </c>
      <c r="H252" s="26"/>
      <c r="I252" s="27"/>
    </row>
    <row r="253" spans="1:9" s="77" customFormat="1" ht="14.25">
      <c r="A253" s="35"/>
      <c r="B253" s="85" t="s">
        <v>100</v>
      </c>
      <c r="C253" s="44" t="s">
        <v>545</v>
      </c>
      <c r="D253" s="106" t="s">
        <v>148</v>
      </c>
      <c r="E253" s="37">
        <v>1</v>
      </c>
      <c r="F253" s="26">
        <f>TRUNC(3.5907,2)</f>
        <v>3.59</v>
      </c>
      <c r="G253" s="26">
        <f t="shared" si="9"/>
        <v>3.59</v>
      </c>
      <c r="H253" s="26"/>
      <c r="I253" s="27"/>
    </row>
    <row r="254" spans="1:9" s="77" customFormat="1" ht="14.25">
      <c r="A254" s="35"/>
      <c r="B254" s="85" t="s">
        <v>238</v>
      </c>
      <c r="C254" s="44" t="s">
        <v>237</v>
      </c>
      <c r="D254" s="106" t="s">
        <v>148</v>
      </c>
      <c r="E254" s="37">
        <v>1</v>
      </c>
      <c r="F254" s="26">
        <f>TRUNC(4.8288,2)</f>
        <v>4.82</v>
      </c>
      <c r="G254" s="26">
        <f t="shared" si="9"/>
        <v>4.82</v>
      </c>
      <c r="H254" s="26"/>
      <c r="I254" s="27"/>
    </row>
    <row r="255" spans="1:9" s="77" customFormat="1" ht="14.25">
      <c r="A255" s="35"/>
      <c r="B255" s="85" t="s">
        <v>99</v>
      </c>
      <c r="C255" s="44" t="s">
        <v>245</v>
      </c>
      <c r="D255" s="106" t="s">
        <v>148</v>
      </c>
      <c r="E255" s="37">
        <v>1</v>
      </c>
      <c r="F255" s="26">
        <f>TRUNC(0.4746,2)</f>
        <v>0.47</v>
      </c>
      <c r="G255" s="26">
        <f t="shared" si="9"/>
        <v>0.47</v>
      </c>
      <c r="H255" s="26"/>
      <c r="I255" s="27"/>
    </row>
    <row r="256" spans="1:9" s="77" customFormat="1" ht="14.25">
      <c r="A256" s="35"/>
      <c r="B256" s="85" t="s">
        <v>101</v>
      </c>
      <c r="C256" s="44" t="s">
        <v>244</v>
      </c>
      <c r="D256" s="106" t="s">
        <v>148</v>
      </c>
      <c r="E256" s="37">
        <v>1</v>
      </c>
      <c r="F256" s="26">
        <f>TRUNC(0.7532,2)</f>
        <v>0.75</v>
      </c>
      <c r="G256" s="26">
        <f t="shared" si="9"/>
        <v>0.75</v>
      </c>
      <c r="H256" s="26"/>
      <c r="I256" s="27"/>
    </row>
    <row r="257" spans="1:9" s="77" customFormat="1" ht="28.5">
      <c r="A257" s="35"/>
      <c r="B257" s="85" t="s">
        <v>16</v>
      </c>
      <c r="C257" s="44" t="s">
        <v>231</v>
      </c>
      <c r="D257" s="106" t="s">
        <v>148</v>
      </c>
      <c r="E257" s="37">
        <v>0.02</v>
      </c>
      <c r="F257" s="26">
        <f>TRUNC(34.03,2)</f>
        <v>34.03</v>
      </c>
      <c r="G257" s="26">
        <f t="shared" si="9"/>
        <v>0.68</v>
      </c>
      <c r="H257" s="26"/>
      <c r="I257" s="27"/>
    </row>
    <row r="258" spans="1:9" s="77" customFormat="1" ht="28.5">
      <c r="A258" s="35"/>
      <c r="B258" s="85" t="s">
        <v>41</v>
      </c>
      <c r="C258" s="44" t="s">
        <v>243</v>
      </c>
      <c r="D258" s="106" t="s">
        <v>148</v>
      </c>
      <c r="E258" s="37">
        <v>0.333</v>
      </c>
      <c r="F258" s="26">
        <f>TRUNC(11.1022,2)</f>
        <v>11.1</v>
      </c>
      <c r="G258" s="26">
        <f t="shared" si="9"/>
        <v>3.69</v>
      </c>
      <c r="H258" s="26"/>
      <c r="I258" s="27"/>
    </row>
    <row r="259" spans="1:9" s="77" customFormat="1" ht="14.25">
      <c r="A259" s="35"/>
      <c r="B259" s="85" t="s">
        <v>66</v>
      </c>
      <c r="C259" s="44" t="s">
        <v>542</v>
      </c>
      <c r="D259" s="106" t="s">
        <v>148</v>
      </c>
      <c r="E259" s="37">
        <v>1</v>
      </c>
      <c r="F259" s="26">
        <f>TRUNC(2.02,2)</f>
        <v>2.02</v>
      </c>
      <c r="G259" s="26">
        <f t="shared" si="9"/>
        <v>2.02</v>
      </c>
      <c r="H259" s="26"/>
      <c r="I259" s="27"/>
    </row>
    <row r="260" spans="1:9" s="77" customFormat="1" ht="14.25">
      <c r="A260" s="35"/>
      <c r="B260" s="85" t="s">
        <v>236</v>
      </c>
      <c r="C260" s="44" t="s">
        <v>235</v>
      </c>
      <c r="D260" s="106" t="s">
        <v>148</v>
      </c>
      <c r="E260" s="37">
        <v>3</v>
      </c>
      <c r="F260" s="26">
        <f>TRUNC(1.7231,2)</f>
        <v>1.72</v>
      </c>
      <c r="G260" s="26">
        <f t="shared" si="9"/>
        <v>5.16</v>
      </c>
      <c r="H260" s="26"/>
      <c r="I260" s="27"/>
    </row>
    <row r="261" spans="1:9" s="77" customFormat="1" ht="14.25">
      <c r="A261" s="35"/>
      <c r="B261" s="85" t="s">
        <v>48</v>
      </c>
      <c r="C261" s="44" t="s">
        <v>234</v>
      </c>
      <c r="D261" s="106" t="s">
        <v>148</v>
      </c>
      <c r="E261" s="37">
        <v>0.5</v>
      </c>
      <c r="F261" s="26">
        <f>TRUNC(45.224,2)</f>
        <v>45.22</v>
      </c>
      <c r="G261" s="26">
        <f t="shared" si="9"/>
        <v>22.61</v>
      </c>
      <c r="H261" s="26"/>
      <c r="I261" s="27"/>
    </row>
    <row r="262" spans="1:9" s="77" customFormat="1" ht="14.25">
      <c r="A262" s="35"/>
      <c r="B262" s="85" t="s">
        <v>76</v>
      </c>
      <c r="C262" s="44" t="s">
        <v>230</v>
      </c>
      <c r="D262" s="106" t="s">
        <v>148</v>
      </c>
      <c r="E262" s="37">
        <v>0.5</v>
      </c>
      <c r="F262" s="26">
        <f>TRUNC(0.72,2)</f>
        <v>0.72</v>
      </c>
      <c r="G262" s="26">
        <f t="shared" si="9"/>
        <v>0.36</v>
      </c>
      <c r="H262" s="26"/>
      <c r="I262" s="27"/>
    </row>
    <row r="263" spans="1:9" s="77" customFormat="1" ht="14.25">
      <c r="A263" s="35"/>
      <c r="B263" s="85" t="s">
        <v>98</v>
      </c>
      <c r="C263" s="44" t="s">
        <v>229</v>
      </c>
      <c r="D263" s="106" t="s">
        <v>148</v>
      </c>
      <c r="E263" s="37">
        <v>0.14</v>
      </c>
      <c r="F263" s="26">
        <f>TRUNC(3.17,2)</f>
        <v>3.17</v>
      </c>
      <c r="G263" s="26">
        <f t="shared" si="9"/>
        <v>0.44</v>
      </c>
      <c r="H263" s="26"/>
      <c r="I263" s="27"/>
    </row>
    <row r="264" spans="1:9" s="77" customFormat="1" ht="14.25">
      <c r="A264" s="35"/>
      <c r="B264" s="85" t="s">
        <v>233</v>
      </c>
      <c r="C264" s="44" t="s">
        <v>232</v>
      </c>
      <c r="D264" s="106" t="s">
        <v>148</v>
      </c>
      <c r="E264" s="37">
        <v>2</v>
      </c>
      <c r="F264" s="26">
        <f>TRUNC(0.25,2)</f>
        <v>0.25</v>
      </c>
      <c r="G264" s="26">
        <f t="shared" si="9"/>
        <v>0.5</v>
      </c>
      <c r="H264" s="26"/>
      <c r="I264" s="27"/>
    </row>
    <row r="265" spans="1:9" s="77" customFormat="1" ht="28.5">
      <c r="A265" s="35"/>
      <c r="B265" s="85" t="s">
        <v>386</v>
      </c>
      <c r="C265" s="44" t="s">
        <v>387</v>
      </c>
      <c r="D265" s="106" t="s">
        <v>45</v>
      </c>
      <c r="E265" s="37">
        <v>3.09</v>
      </c>
      <c r="F265" s="26">
        <f>TRUNC(13.08,2)</f>
        <v>13.08</v>
      </c>
      <c r="G265" s="26">
        <f t="shared" si="9"/>
        <v>40.41</v>
      </c>
      <c r="H265" s="26"/>
      <c r="I265" s="27"/>
    </row>
    <row r="266" spans="1:9" s="77" customFormat="1" ht="28.5">
      <c r="A266" s="35"/>
      <c r="B266" s="85" t="s">
        <v>408</v>
      </c>
      <c r="C266" s="44" t="s">
        <v>409</v>
      </c>
      <c r="D266" s="106" t="s">
        <v>45</v>
      </c>
      <c r="E266" s="37">
        <v>9.27</v>
      </c>
      <c r="F266" s="26">
        <f>TRUNC(18.05,2)</f>
        <v>18.05</v>
      </c>
      <c r="G266" s="26">
        <f t="shared" si="9"/>
        <v>167.32</v>
      </c>
      <c r="H266" s="26"/>
      <c r="I266" s="27"/>
    </row>
    <row r="267" spans="1:9" s="77" customFormat="1" ht="14.25">
      <c r="A267" s="35"/>
      <c r="B267" s="85"/>
      <c r="C267" s="44"/>
      <c r="D267" s="106"/>
      <c r="E267" s="37"/>
      <c r="F267" s="26"/>
      <c r="G267" s="26">
        <f>SUM(G253:G266)</f>
        <v>252.82</v>
      </c>
      <c r="H267" s="26"/>
      <c r="I267" s="27"/>
    </row>
    <row r="268" spans="1:9" s="196" customFormat="1" ht="42.75">
      <c r="A268" s="253" t="s">
        <v>67</v>
      </c>
      <c r="B268" s="254" t="s">
        <v>412</v>
      </c>
      <c r="C268" s="255" t="s">
        <v>344</v>
      </c>
      <c r="D268" s="276" t="s">
        <v>148</v>
      </c>
      <c r="E268" s="277">
        <v>3</v>
      </c>
      <c r="F268" s="268">
        <f>I270</f>
        <v>37.28</v>
      </c>
      <c r="G268" s="257">
        <f>TRUNC(F268*1.2882,2)</f>
        <v>48.02</v>
      </c>
      <c r="H268" s="257">
        <f>TRUNC(F268*E268,2)</f>
        <v>111.84</v>
      </c>
      <c r="I268" s="258">
        <f>TRUNC(E268*G268,2)</f>
        <v>144.06</v>
      </c>
    </row>
    <row r="269" spans="1:9" s="77" customFormat="1" ht="14.25">
      <c r="A269" s="35"/>
      <c r="B269" s="85" t="s">
        <v>199</v>
      </c>
      <c r="C269" s="44" t="s">
        <v>582</v>
      </c>
      <c r="D269" s="106" t="s">
        <v>148</v>
      </c>
      <c r="E269" s="37">
        <v>1</v>
      </c>
      <c r="F269" s="42">
        <v>37.28</v>
      </c>
      <c r="G269" s="42"/>
      <c r="H269" s="42"/>
      <c r="I269" s="27">
        <f>TRUNC(E269*F269,2)</f>
        <v>37.28</v>
      </c>
    </row>
    <row r="270" spans="1:9" s="77" customFormat="1" ht="14.25">
      <c r="A270" s="35"/>
      <c r="B270" s="85"/>
      <c r="C270" s="44"/>
      <c r="D270" s="106"/>
      <c r="E270" s="37" t="s">
        <v>150</v>
      </c>
      <c r="F270" s="42"/>
      <c r="G270" s="42"/>
      <c r="H270" s="42"/>
      <c r="I270" s="27">
        <f>TRUNC(SUM(I269:I269),2)</f>
        <v>37.28</v>
      </c>
    </row>
    <row r="271" spans="1:9" s="196" customFormat="1" ht="42.75">
      <c r="A271" s="253" t="s">
        <v>108</v>
      </c>
      <c r="B271" s="254" t="s">
        <v>413</v>
      </c>
      <c r="C271" s="255" t="s">
        <v>345</v>
      </c>
      <c r="D271" s="276" t="s">
        <v>148</v>
      </c>
      <c r="E271" s="277">
        <v>3</v>
      </c>
      <c r="F271" s="268">
        <f>TRUNC(I281,2)</f>
        <v>124.37</v>
      </c>
      <c r="G271" s="257">
        <f>TRUNC(F271*1.2882,2)</f>
        <v>160.21</v>
      </c>
      <c r="H271" s="257">
        <f>TRUNC(F271*E271,2)</f>
        <v>373.11</v>
      </c>
      <c r="I271" s="258">
        <f>TRUNC(E271*G271,2)</f>
        <v>480.63</v>
      </c>
    </row>
    <row r="272" spans="1:9" s="77" customFormat="1" ht="14.25">
      <c r="A272" s="35"/>
      <c r="B272" s="85" t="s">
        <v>100</v>
      </c>
      <c r="C272" s="44" t="s">
        <v>545</v>
      </c>
      <c r="D272" s="106" t="s">
        <v>148</v>
      </c>
      <c r="E272" s="37">
        <v>1</v>
      </c>
      <c r="F272" s="42">
        <v>3.5907</v>
      </c>
      <c r="G272" s="42"/>
      <c r="H272" s="42"/>
      <c r="I272" s="27">
        <f aca="true" t="shared" si="10" ref="I272:I280">TRUNC(E272*F272,2)</f>
        <v>3.59</v>
      </c>
    </row>
    <row r="273" spans="1:9" s="77" customFormat="1" ht="14.25">
      <c r="A273" s="35"/>
      <c r="B273" s="85" t="s">
        <v>99</v>
      </c>
      <c r="C273" s="44" t="s">
        <v>245</v>
      </c>
      <c r="D273" s="106" t="s">
        <v>148</v>
      </c>
      <c r="E273" s="37">
        <v>1</v>
      </c>
      <c r="F273" s="42">
        <v>0.4746</v>
      </c>
      <c r="G273" s="42"/>
      <c r="H273" s="42"/>
      <c r="I273" s="27">
        <f t="shared" si="10"/>
        <v>0.47</v>
      </c>
    </row>
    <row r="274" spans="1:9" s="77" customFormat="1" ht="14.25">
      <c r="A274" s="35"/>
      <c r="B274" s="85" t="s">
        <v>101</v>
      </c>
      <c r="C274" s="44" t="s">
        <v>244</v>
      </c>
      <c r="D274" s="106" t="s">
        <v>148</v>
      </c>
      <c r="E274" s="37">
        <v>1</v>
      </c>
      <c r="F274" s="42">
        <v>0.7532</v>
      </c>
      <c r="G274" s="42"/>
      <c r="H274" s="42"/>
      <c r="I274" s="27">
        <f t="shared" si="10"/>
        <v>0.75</v>
      </c>
    </row>
    <row r="275" spans="1:9" s="77" customFormat="1" ht="28.5">
      <c r="A275" s="35"/>
      <c r="B275" s="85" t="s">
        <v>16</v>
      </c>
      <c r="C275" s="44" t="s">
        <v>231</v>
      </c>
      <c r="D275" s="106" t="s">
        <v>148</v>
      </c>
      <c r="E275" s="37">
        <v>0.03</v>
      </c>
      <c r="F275" s="42">
        <v>34.03</v>
      </c>
      <c r="G275" s="42"/>
      <c r="H275" s="42"/>
      <c r="I275" s="27">
        <f t="shared" si="10"/>
        <v>1.02</v>
      </c>
    </row>
    <row r="276" spans="1:9" s="77" customFormat="1" ht="28.5">
      <c r="A276" s="35"/>
      <c r="B276" s="85" t="s">
        <v>41</v>
      </c>
      <c r="C276" s="44" t="s">
        <v>243</v>
      </c>
      <c r="D276" s="106" t="s">
        <v>148</v>
      </c>
      <c r="E276" s="37">
        <v>0.5</v>
      </c>
      <c r="F276" s="42">
        <v>11.1022</v>
      </c>
      <c r="G276" s="42"/>
      <c r="H276" s="42"/>
      <c r="I276" s="27">
        <f t="shared" si="10"/>
        <v>5.55</v>
      </c>
    </row>
    <row r="277" spans="1:9" s="77" customFormat="1" ht="14.25">
      <c r="A277" s="35"/>
      <c r="B277" s="85" t="s">
        <v>76</v>
      </c>
      <c r="C277" s="44" t="s">
        <v>230</v>
      </c>
      <c r="D277" s="106" t="s">
        <v>148</v>
      </c>
      <c r="E277" s="37">
        <v>0.2</v>
      </c>
      <c r="F277" s="42">
        <v>0.72</v>
      </c>
      <c r="G277" s="42"/>
      <c r="H277" s="42"/>
      <c r="I277" s="27">
        <f t="shared" si="10"/>
        <v>0.14</v>
      </c>
    </row>
    <row r="278" spans="1:9" s="77" customFormat="1" ht="14.25">
      <c r="A278" s="35"/>
      <c r="B278" s="85" t="s">
        <v>98</v>
      </c>
      <c r="C278" s="44" t="s">
        <v>229</v>
      </c>
      <c r="D278" s="106" t="s">
        <v>148</v>
      </c>
      <c r="E278" s="37">
        <v>0.2</v>
      </c>
      <c r="F278" s="42">
        <v>3.17</v>
      </c>
      <c r="G278" s="42"/>
      <c r="H278" s="42"/>
      <c r="I278" s="27">
        <f t="shared" si="10"/>
        <v>0.63</v>
      </c>
    </row>
    <row r="279" spans="1:9" s="77" customFormat="1" ht="28.5">
      <c r="A279" s="35"/>
      <c r="B279" s="85" t="s">
        <v>386</v>
      </c>
      <c r="C279" s="44" t="s">
        <v>387</v>
      </c>
      <c r="D279" s="106" t="s">
        <v>45</v>
      </c>
      <c r="E279" s="37">
        <v>3.605</v>
      </c>
      <c r="F279" s="42">
        <v>13.08</v>
      </c>
      <c r="G279" s="42"/>
      <c r="H279" s="42"/>
      <c r="I279" s="27">
        <f t="shared" si="10"/>
        <v>47.15</v>
      </c>
    </row>
    <row r="280" spans="1:9" s="77" customFormat="1" ht="28.5">
      <c r="A280" s="35"/>
      <c r="B280" s="85" t="s">
        <v>408</v>
      </c>
      <c r="C280" s="44" t="s">
        <v>409</v>
      </c>
      <c r="D280" s="106" t="s">
        <v>45</v>
      </c>
      <c r="E280" s="37">
        <v>3.605</v>
      </c>
      <c r="F280" s="42">
        <v>18.05</v>
      </c>
      <c r="G280" s="42"/>
      <c r="H280" s="42"/>
      <c r="I280" s="27">
        <f t="shared" si="10"/>
        <v>65.07</v>
      </c>
    </row>
    <row r="281" spans="1:9" s="77" customFormat="1" ht="14.25">
      <c r="A281" s="35"/>
      <c r="B281" s="85"/>
      <c r="C281" s="44"/>
      <c r="D281" s="106"/>
      <c r="E281" s="37" t="s">
        <v>150</v>
      </c>
      <c r="F281" s="42"/>
      <c r="G281" s="42"/>
      <c r="H281" s="42"/>
      <c r="I281" s="27">
        <f>TRUNC(SUM(I272:I280),2)</f>
        <v>124.37</v>
      </c>
    </row>
    <row r="282" spans="1:9" s="197" customFormat="1" ht="42.75">
      <c r="A282" s="278" t="s">
        <v>109</v>
      </c>
      <c r="B282" s="379" t="s">
        <v>835</v>
      </c>
      <c r="C282" s="280" t="s">
        <v>329</v>
      </c>
      <c r="D282" s="281" t="s">
        <v>148</v>
      </c>
      <c r="E282" s="282">
        <v>3</v>
      </c>
      <c r="F282" s="283">
        <f>TRUNC((F283+F286),2)</f>
        <v>723.6</v>
      </c>
      <c r="G282" s="284">
        <f>TRUNC(F282*1.2882,2)</f>
        <v>932.14</v>
      </c>
      <c r="H282" s="284">
        <f>TRUNC(F282*E282,2)</f>
        <v>2170.8</v>
      </c>
      <c r="I282" s="285">
        <f>TRUNC(E282*G282,2)</f>
        <v>2796.42</v>
      </c>
    </row>
    <row r="283" spans="1:9" s="129" customFormat="1" ht="28.5">
      <c r="A283" s="130"/>
      <c r="B283" s="131" t="s">
        <v>414</v>
      </c>
      <c r="C283" s="132" t="s">
        <v>346</v>
      </c>
      <c r="D283" s="131" t="s">
        <v>148</v>
      </c>
      <c r="E283" s="133">
        <v>1</v>
      </c>
      <c r="F283" s="136">
        <f>TRUNC(I285,2)</f>
        <v>240</v>
      </c>
      <c r="G283" s="136"/>
      <c r="H283" s="136"/>
      <c r="I283" s="137">
        <f>TRUNC(E283*F283,2)</f>
        <v>240</v>
      </c>
    </row>
    <row r="284" spans="1:9" s="129" customFormat="1" ht="14.25">
      <c r="A284" s="130"/>
      <c r="B284" s="131" t="s">
        <v>327</v>
      </c>
      <c r="C284" s="132" t="s">
        <v>326</v>
      </c>
      <c r="D284" s="131" t="s">
        <v>148</v>
      </c>
      <c r="E284" s="133">
        <v>1</v>
      </c>
      <c r="F284" s="136">
        <v>240</v>
      </c>
      <c r="G284" s="136"/>
      <c r="H284" s="136"/>
      <c r="I284" s="137">
        <f>TRUNC(E284*F284,2)</f>
        <v>240</v>
      </c>
    </row>
    <row r="285" spans="1:9" s="129" customFormat="1" ht="14.25">
      <c r="A285" s="130"/>
      <c r="B285" s="131"/>
      <c r="C285" s="132"/>
      <c r="D285" s="131"/>
      <c r="E285" s="133" t="s">
        <v>150</v>
      </c>
      <c r="F285" s="136"/>
      <c r="G285" s="136"/>
      <c r="H285" s="136"/>
      <c r="I285" s="137">
        <f>TRUNC(SUM(I284:I284),2)</f>
        <v>240</v>
      </c>
    </row>
    <row r="286" spans="1:9" s="129" customFormat="1" ht="57">
      <c r="A286" s="130"/>
      <c r="B286" s="131" t="s">
        <v>415</v>
      </c>
      <c r="C286" s="132" t="s">
        <v>347</v>
      </c>
      <c r="D286" s="131" t="s">
        <v>148</v>
      </c>
      <c r="E286" s="133">
        <v>1</v>
      </c>
      <c r="F286" s="136">
        <f>TRUNC(I294,2)</f>
        <v>483.6</v>
      </c>
      <c r="G286" s="136"/>
      <c r="H286" s="136"/>
      <c r="I286" s="137">
        <f aca="true" t="shared" si="11" ref="I286:I293">TRUNC(E286*F286,2)</f>
        <v>483.6</v>
      </c>
    </row>
    <row r="287" spans="1:9" s="129" customFormat="1" ht="14.25">
      <c r="A287" s="130"/>
      <c r="B287" s="131" t="s">
        <v>195</v>
      </c>
      <c r="C287" s="132" t="s">
        <v>575</v>
      </c>
      <c r="D287" s="131" t="s">
        <v>141</v>
      </c>
      <c r="E287" s="133">
        <v>3.2</v>
      </c>
      <c r="F287" s="136">
        <v>12</v>
      </c>
      <c r="G287" s="136"/>
      <c r="H287" s="136"/>
      <c r="I287" s="137">
        <f t="shared" si="11"/>
        <v>38.4</v>
      </c>
    </row>
    <row r="288" spans="1:9" s="129" customFormat="1" ht="14.25">
      <c r="A288" s="130"/>
      <c r="B288" s="131" t="s">
        <v>328</v>
      </c>
      <c r="C288" s="132" t="s">
        <v>583</v>
      </c>
      <c r="D288" s="131" t="s">
        <v>148</v>
      </c>
      <c r="E288" s="133">
        <v>2</v>
      </c>
      <c r="F288" s="136">
        <v>7.6791</v>
      </c>
      <c r="G288" s="136"/>
      <c r="H288" s="136"/>
      <c r="I288" s="137">
        <f t="shared" si="11"/>
        <v>15.35</v>
      </c>
    </row>
    <row r="289" spans="1:9" s="129" customFormat="1" ht="14.25">
      <c r="A289" s="130"/>
      <c r="B289" s="131" t="s">
        <v>120</v>
      </c>
      <c r="C289" s="132" t="s">
        <v>222</v>
      </c>
      <c r="D289" s="131" t="s">
        <v>148</v>
      </c>
      <c r="E289" s="133">
        <v>20</v>
      </c>
      <c r="F289" s="136">
        <v>0.48</v>
      </c>
      <c r="G289" s="136"/>
      <c r="H289" s="136"/>
      <c r="I289" s="137">
        <f t="shared" si="11"/>
        <v>9.6</v>
      </c>
    </row>
    <row r="290" spans="1:9" s="129" customFormat="1" ht="28.5">
      <c r="A290" s="130"/>
      <c r="B290" s="131" t="s">
        <v>386</v>
      </c>
      <c r="C290" s="132" t="s">
        <v>387</v>
      </c>
      <c r="D290" s="131" t="s">
        <v>45</v>
      </c>
      <c r="E290" s="133">
        <v>12.36</v>
      </c>
      <c r="F290" s="136">
        <v>13.08</v>
      </c>
      <c r="G290" s="136"/>
      <c r="H290" s="136"/>
      <c r="I290" s="137">
        <f t="shared" si="11"/>
        <v>161.66</v>
      </c>
    </row>
    <row r="291" spans="1:9" s="129" customFormat="1" ht="14.25">
      <c r="A291" s="130"/>
      <c r="B291" s="131" t="s">
        <v>392</v>
      </c>
      <c r="C291" s="132" t="s">
        <v>393</v>
      </c>
      <c r="D291" s="131" t="s">
        <v>45</v>
      </c>
      <c r="E291" s="133">
        <v>4.12</v>
      </c>
      <c r="F291" s="136">
        <v>18.05</v>
      </c>
      <c r="G291" s="136"/>
      <c r="H291" s="136"/>
      <c r="I291" s="137">
        <f t="shared" si="11"/>
        <v>74.36</v>
      </c>
    </row>
    <row r="292" spans="1:9" s="129" customFormat="1" ht="28.5">
      <c r="A292" s="130"/>
      <c r="B292" s="131" t="s">
        <v>408</v>
      </c>
      <c r="C292" s="132" t="s">
        <v>409</v>
      </c>
      <c r="D292" s="131" t="s">
        <v>45</v>
      </c>
      <c r="E292" s="133">
        <v>9.27</v>
      </c>
      <c r="F292" s="136">
        <v>18.05</v>
      </c>
      <c r="G292" s="136"/>
      <c r="H292" s="136"/>
      <c r="I292" s="137">
        <f t="shared" si="11"/>
        <v>167.32</v>
      </c>
    </row>
    <row r="293" spans="1:9" s="129" customFormat="1" ht="14.25">
      <c r="A293" s="130"/>
      <c r="B293" s="131" t="s">
        <v>394</v>
      </c>
      <c r="C293" s="132" t="s">
        <v>395</v>
      </c>
      <c r="D293" s="131" t="s">
        <v>43</v>
      </c>
      <c r="E293" s="133">
        <v>0.08</v>
      </c>
      <c r="F293" s="136">
        <v>211.3936</v>
      </c>
      <c r="G293" s="136"/>
      <c r="H293" s="136"/>
      <c r="I293" s="137">
        <f t="shared" si="11"/>
        <v>16.91</v>
      </c>
    </row>
    <row r="294" spans="1:9" s="129" customFormat="1" ht="14.25">
      <c r="A294" s="130"/>
      <c r="B294" s="131"/>
      <c r="C294" s="132"/>
      <c r="D294" s="131"/>
      <c r="E294" s="133" t="s">
        <v>150</v>
      </c>
      <c r="F294" s="136"/>
      <c r="G294" s="136"/>
      <c r="H294" s="136"/>
      <c r="I294" s="137">
        <f>TRUNC(SUM(I287:I293),2)</f>
        <v>483.6</v>
      </c>
    </row>
    <row r="295" spans="1:9" s="196" customFormat="1" ht="28.5">
      <c r="A295" s="253" t="s">
        <v>110</v>
      </c>
      <c r="B295" s="254" t="s">
        <v>416</v>
      </c>
      <c r="C295" s="255" t="s">
        <v>348</v>
      </c>
      <c r="D295" s="276" t="s">
        <v>148</v>
      </c>
      <c r="E295" s="277">
        <v>3</v>
      </c>
      <c r="F295" s="268">
        <f>TRUNC(I299,2)</f>
        <v>37.67</v>
      </c>
      <c r="G295" s="257">
        <f>TRUNC(F295*1.2882,2)</f>
        <v>48.52</v>
      </c>
      <c r="H295" s="257">
        <f>TRUNC(F295*E295,2)</f>
        <v>113.01</v>
      </c>
      <c r="I295" s="258">
        <f>TRUNC(E295*G295,2)</f>
        <v>145.56</v>
      </c>
    </row>
    <row r="296" spans="1:9" s="77" customFormat="1" ht="14.25">
      <c r="A296" s="35"/>
      <c r="B296" s="85" t="s">
        <v>211</v>
      </c>
      <c r="C296" s="44" t="s">
        <v>584</v>
      </c>
      <c r="D296" s="106" t="s">
        <v>148</v>
      </c>
      <c r="E296" s="37">
        <v>1</v>
      </c>
      <c r="F296" s="42">
        <v>21.6558</v>
      </c>
      <c r="G296" s="42"/>
      <c r="H296" s="42"/>
      <c r="I296" s="27">
        <f>TRUNC(E296*F296,2)</f>
        <v>21.65</v>
      </c>
    </row>
    <row r="297" spans="1:9" s="77" customFormat="1" ht="28.5">
      <c r="A297" s="35"/>
      <c r="B297" s="85" t="s">
        <v>386</v>
      </c>
      <c r="C297" s="44" t="s">
        <v>387</v>
      </c>
      <c r="D297" s="106" t="s">
        <v>45</v>
      </c>
      <c r="E297" s="37">
        <v>0.515</v>
      </c>
      <c r="F297" s="42">
        <v>13.08</v>
      </c>
      <c r="G297" s="42"/>
      <c r="H297" s="42"/>
      <c r="I297" s="27">
        <f>TRUNC(E297*F297,2)</f>
        <v>6.73</v>
      </c>
    </row>
    <row r="298" spans="1:9" s="77" customFormat="1" ht="28.5">
      <c r="A298" s="35"/>
      <c r="B298" s="85" t="s">
        <v>408</v>
      </c>
      <c r="C298" s="44" t="s">
        <v>409</v>
      </c>
      <c r="D298" s="106" t="s">
        <v>45</v>
      </c>
      <c r="E298" s="37">
        <v>0.515</v>
      </c>
      <c r="F298" s="42">
        <v>18.05</v>
      </c>
      <c r="G298" s="42"/>
      <c r="H298" s="42"/>
      <c r="I298" s="27">
        <f>TRUNC(E298*F298,2)</f>
        <v>9.29</v>
      </c>
    </row>
    <row r="299" spans="1:9" s="77" customFormat="1" ht="14.25">
      <c r="A299" s="35"/>
      <c r="B299" s="85"/>
      <c r="C299" s="44"/>
      <c r="D299" s="106"/>
      <c r="E299" s="37" t="s">
        <v>150</v>
      </c>
      <c r="F299" s="42"/>
      <c r="G299" s="42"/>
      <c r="H299" s="42"/>
      <c r="I299" s="27">
        <f>TRUNC(SUM(I296:I298),2)</f>
        <v>37.67</v>
      </c>
    </row>
    <row r="300" spans="1:9" s="196" customFormat="1" ht="57">
      <c r="A300" s="286" t="s">
        <v>111</v>
      </c>
      <c r="B300" s="287" t="s">
        <v>417</v>
      </c>
      <c r="C300" s="288" t="s">
        <v>349</v>
      </c>
      <c r="D300" s="289" t="s">
        <v>141</v>
      </c>
      <c r="E300" s="290">
        <v>7</v>
      </c>
      <c r="F300" s="291">
        <f>TRUNC(I305,2)</f>
        <v>23.39</v>
      </c>
      <c r="G300" s="292">
        <f>TRUNC(F300*1.2882,2)</f>
        <v>30.13</v>
      </c>
      <c r="H300" s="292">
        <f>TRUNC(F300*E300,2)</f>
        <v>163.73</v>
      </c>
      <c r="I300" s="293">
        <f>TRUNC(E300*G300,2)</f>
        <v>210.91</v>
      </c>
    </row>
    <row r="301" spans="1:9" s="77" customFormat="1" ht="14.25">
      <c r="A301" s="35"/>
      <c r="B301" s="85" t="s">
        <v>0</v>
      </c>
      <c r="C301" s="44" t="s">
        <v>240</v>
      </c>
      <c r="D301" s="106" t="s">
        <v>148</v>
      </c>
      <c r="E301" s="37">
        <v>0.1925</v>
      </c>
      <c r="F301" s="42">
        <v>74.2899</v>
      </c>
      <c r="G301" s="42"/>
      <c r="H301" s="42"/>
      <c r="I301" s="27">
        <f>TRUNC(E301*F301,2)</f>
        <v>14.3</v>
      </c>
    </row>
    <row r="302" spans="1:9" s="77" customFormat="1" ht="14.25">
      <c r="A302" s="35"/>
      <c r="B302" s="85" t="s">
        <v>98</v>
      </c>
      <c r="C302" s="44" t="s">
        <v>229</v>
      </c>
      <c r="D302" s="106" t="s">
        <v>148</v>
      </c>
      <c r="E302" s="37">
        <v>0.24200000000000002</v>
      </c>
      <c r="F302" s="42">
        <v>3.17</v>
      </c>
      <c r="G302" s="42"/>
      <c r="H302" s="42"/>
      <c r="I302" s="27">
        <f>TRUNC(E302*F302,2)</f>
        <v>0.76</v>
      </c>
    </row>
    <row r="303" spans="1:9" s="77" customFormat="1" ht="28.5">
      <c r="A303" s="35"/>
      <c r="B303" s="85" t="s">
        <v>386</v>
      </c>
      <c r="C303" s="44" t="s">
        <v>387</v>
      </c>
      <c r="D303" s="106" t="s">
        <v>45</v>
      </c>
      <c r="E303" s="37">
        <v>0.26780000000000004</v>
      </c>
      <c r="F303" s="42">
        <v>13.08</v>
      </c>
      <c r="G303" s="42"/>
      <c r="H303" s="42"/>
      <c r="I303" s="27">
        <f>TRUNC(E303*F303,2)</f>
        <v>3.5</v>
      </c>
    </row>
    <row r="304" spans="1:9" s="77" customFormat="1" ht="28.5">
      <c r="A304" s="35"/>
      <c r="B304" s="85" t="s">
        <v>408</v>
      </c>
      <c r="C304" s="44" t="s">
        <v>409</v>
      </c>
      <c r="D304" s="106" t="s">
        <v>45</v>
      </c>
      <c r="E304" s="37">
        <v>0.26780000000000004</v>
      </c>
      <c r="F304" s="42">
        <v>18.05</v>
      </c>
      <c r="G304" s="42"/>
      <c r="H304" s="42"/>
      <c r="I304" s="27">
        <f>TRUNC(E304*F304,2)</f>
        <v>4.83</v>
      </c>
    </row>
    <row r="305" spans="1:9" s="77" customFormat="1" ht="14.25">
      <c r="A305" s="35"/>
      <c r="B305" s="85"/>
      <c r="C305" s="44"/>
      <c r="D305" s="106"/>
      <c r="E305" s="37" t="s">
        <v>150</v>
      </c>
      <c r="F305" s="42"/>
      <c r="G305" s="42"/>
      <c r="H305" s="42"/>
      <c r="I305" s="27">
        <f>TRUNC(SUM(I301:I304),2)</f>
        <v>23.39</v>
      </c>
    </row>
    <row r="306" spans="1:9" s="167" customFormat="1" ht="57">
      <c r="A306" s="286" t="s">
        <v>163</v>
      </c>
      <c r="B306" s="287" t="s">
        <v>648</v>
      </c>
      <c r="C306" s="288" t="s">
        <v>353</v>
      </c>
      <c r="D306" s="289" t="s">
        <v>141</v>
      </c>
      <c r="E306" s="290">
        <v>8</v>
      </c>
      <c r="F306" s="291">
        <f>F307</f>
        <v>14.61</v>
      </c>
      <c r="G306" s="292">
        <f>TRUNC(F306*1.2882,2)</f>
        <v>18.82</v>
      </c>
      <c r="H306" s="292">
        <f>TRUNC(F306*E306,2)</f>
        <v>116.88</v>
      </c>
      <c r="I306" s="293">
        <f>TRUNC(E306*G306,2)</f>
        <v>150.56</v>
      </c>
    </row>
    <row r="307" spans="1:9" s="77" customFormat="1" ht="57">
      <c r="A307" s="35"/>
      <c r="B307" s="85" t="s">
        <v>648</v>
      </c>
      <c r="C307" s="44" t="s">
        <v>353</v>
      </c>
      <c r="D307" s="106" t="s">
        <v>141</v>
      </c>
      <c r="E307" s="37">
        <v>1</v>
      </c>
      <c r="F307" s="42">
        <f>G312</f>
        <v>14.61</v>
      </c>
      <c r="G307" s="42">
        <f>TRUNC(E307*F307,2)</f>
        <v>14.61</v>
      </c>
      <c r="H307" s="42"/>
      <c r="I307" s="27"/>
    </row>
    <row r="308" spans="1:9" s="77" customFormat="1" ht="14.25">
      <c r="A308" s="35"/>
      <c r="B308" s="85" t="s">
        <v>649</v>
      </c>
      <c r="C308" s="44" t="s">
        <v>650</v>
      </c>
      <c r="D308" s="106" t="s">
        <v>148</v>
      </c>
      <c r="E308" s="37">
        <v>0.1925</v>
      </c>
      <c r="F308" s="42">
        <f>TRUNC(43.5008,2)</f>
        <v>43.5</v>
      </c>
      <c r="G308" s="42">
        <f>TRUNC(E308*F308,2)</f>
        <v>8.37</v>
      </c>
      <c r="H308" s="42"/>
      <c r="I308" s="27"/>
    </row>
    <row r="309" spans="1:9" s="77" customFormat="1" ht="14.25">
      <c r="A309" s="35"/>
      <c r="B309" s="85" t="s">
        <v>98</v>
      </c>
      <c r="C309" s="44" t="s">
        <v>229</v>
      </c>
      <c r="D309" s="106" t="s">
        <v>148</v>
      </c>
      <c r="E309" s="37">
        <v>0.15400000000000003</v>
      </c>
      <c r="F309" s="42">
        <f>TRUNC(3.17,2)</f>
        <v>3.17</v>
      </c>
      <c r="G309" s="42">
        <f>TRUNC(E309*F309,2)</f>
        <v>0.48</v>
      </c>
      <c r="H309" s="42"/>
      <c r="I309" s="27"/>
    </row>
    <row r="310" spans="1:9" s="77" customFormat="1" ht="28.5">
      <c r="A310" s="35"/>
      <c r="B310" s="85" t="s">
        <v>386</v>
      </c>
      <c r="C310" s="44" t="s">
        <v>387</v>
      </c>
      <c r="D310" s="106" t="s">
        <v>45</v>
      </c>
      <c r="E310" s="37">
        <v>0.1854</v>
      </c>
      <c r="F310" s="42">
        <f>TRUNC(13.08,2)</f>
        <v>13.08</v>
      </c>
      <c r="G310" s="42">
        <f>TRUNC(E310*F310,2)</f>
        <v>2.42</v>
      </c>
      <c r="H310" s="42"/>
      <c r="I310" s="27"/>
    </row>
    <row r="311" spans="1:9" s="77" customFormat="1" ht="28.5">
      <c r="A311" s="35"/>
      <c r="B311" s="85" t="s">
        <v>408</v>
      </c>
      <c r="C311" s="44" t="s">
        <v>409</v>
      </c>
      <c r="D311" s="106" t="s">
        <v>45</v>
      </c>
      <c r="E311" s="37">
        <v>0.1854</v>
      </c>
      <c r="F311" s="42">
        <f>TRUNC(18.05,2)</f>
        <v>18.05</v>
      </c>
      <c r="G311" s="42">
        <f>TRUNC(E311*F311,2)</f>
        <v>3.34</v>
      </c>
      <c r="H311" s="42"/>
      <c r="I311" s="27"/>
    </row>
    <row r="312" spans="1:9" s="77" customFormat="1" ht="14.25">
      <c r="A312" s="35"/>
      <c r="B312" s="85"/>
      <c r="C312" s="44"/>
      <c r="D312" s="106"/>
      <c r="E312" s="37" t="s">
        <v>150</v>
      </c>
      <c r="F312" s="42"/>
      <c r="G312" s="42">
        <f>TRUNC(SUM(G308:G311),2)</f>
        <v>14.61</v>
      </c>
      <c r="H312" s="42"/>
      <c r="I312" s="27"/>
    </row>
    <row r="313" spans="1:9" s="167" customFormat="1" ht="57">
      <c r="A313" s="253" t="s">
        <v>164</v>
      </c>
      <c r="B313" s="254" t="s">
        <v>651</v>
      </c>
      <c r="C313" s="255" t="s">
        <v>652</v>
      </c>
      <c r="D313" s="276" t="s">
        <v>141</v>
      </c>
      <c r="E313" s="277">
        <v>187.8</v>
      </c>
      <c r="F313" s="268">
        <f>F314</f>
        <v>7.36</v>
      </c>
      <c r="G313" s="257">
        <f>TRUNC(F313*1.2882,2)</f>
        <v>9.48</v>
      </c>
      <c r="H313" s="257">
        <f>TRUNC(F313*E313,2)</f>
        <v>1382.2</v>
      </c>
      <c r="I313" s="258">
        <f>TRUNC(E313*G313,2)</f>
        <v>1780.34</v>
      </c>
    </row>
    <row r="314" spans="1:9" s="77" customFormat="1" ht="57">
      <c r="A314" s="35"/>
      <c r="B314" s="85" t="s">
        <v>651</v>
      </c>
      <c r="C314" s="44" t="s">
        <v>652</v>
      </c>
      <c r="D314" s="106" t="s">
        <v>141</v>
      </c>
      <c r="E314" s="37">
        <v>1</v>
      </c>
      <c r="F314" s="42">
        <f>G319</f>
        <v>7.36</v>
      </c>
      <c r="G314" s="42">
        <f>TRUNC(E314*F314,2)</f>
        <v>7.36</v>
      </c>
      <c r="H314" s="42"/>
      <c r="I314" s="27"/>
    </row>
    <row r="315" spans="1:9" s="77" customFormat="1" ht="28.5">
      <c r="A315" s="35"/>
      <c r="B315" s="85" t="s">
        <v>41</v>
      </c>
      <c r="C315" s="44" t="s">
        <v>243</v>
      </c>
      <c r="D315" s="106" t="s">
        <v>148</v>
      </c>
      <c r="E315" s="37">
        <v>0.1925</v>
      </c>
      <c r="F315" s="42">
        <f>TRUNC(11.1022,2)</f>
        <v>11.1</v>
      </c>
      <c r="G315" s="42">
        <f>TRUNC(E315*F315,2)</f>
        <v>2.13</v>
      </c>
      <c r="H315" s="42"/>
      <c r="I315" s="27"/>
    </row>
    <row r="316" spans="1:9" s="77" customFormat="1" ht="14.25">
      <c r="A316" s="35"/>
      <c r="B316" s="85" t="s">
        <v>98</v>
      </c>
      <c r="C316" s="44" t="s">
        <v>229</v>
      </c>
      <c r="D316" s="106" t="s">
        <v>148</v>
      </c>
      <c r="E316" s="37">
        <v>0.1375</v>
      </c>
      <c r="F316" s="42">
        <f>TRUNC(3.17,2)</f>
        <v>3.17</v>
      </c>
      <c r="G316" s="42">
        <f>TRUNC(E316*F316,2)</f>
        <v>0.43</v>
      </c>
      <c r="H316" s="42"/>
      <c r="I316" s="27"/>
    </row>
    <row r="317" spans="1:9" s="77" customFormat="1" ht="28.5">
      <c r="A317" s="35"/>
      <c r="B317" s="85" t="s">
        <v>386</v>
      </c>
      <c r="C317" s="44" t="s">
        <v>387</v>
      </c>
      <c r="D317" s="106" t="s">
        <v>45</v>
      </c>
      <c r="E317" s="37">
        <v>0.1545</v>
      </c>
      <c r="F317" s="42">
        <f>TRUNC(13.08,2)</f>
        <v>13.08</v>
      </c>
      <c r="G317" s="42">
        <f>TRUNC(E317*F317,2)</f>
        <v>2.02</v>
      </c>
      <c r="H317" s="42"/>
      <c r="I317" s="27"/>
    </row>
    <row r="318" spans="1:9" s="77" customFormat="1" ht="28.5">
      <c r="A318" s="35"/>
      <c r="B318" s="85" t="s">
        <v>408</v>
      </c>
      <c r="C318" s="44" t="s">
        <v>409</v>
      </c>
      <c r="D318" s="106" t="s">
        <v>45</v>
      </c>
      <c r="E318" s="37">
        <v>0.1545</v>
      </c>
      <c r="F318" s="42">
        <f>TRUNC(18.05,2)</f>
        <v>18.05</v>
      </c>
      <c r="G318" s="42">
        <f>TRUNC(E318*F318,2)</f>
        <v>2.78</v>
      </c>
      <c r="H318" s="42"/>
      <c r="I318" s="27"/>
    </row>
    <row r="319" spans="1:9" s="77" customFormat="1" ht="14.25">
      <c r="A319" s="35"/>
      <c r="B319" s="85"/>
      <c r="C319" s="44"/>
      <c r="D319" s="106"/>
      <c r="E319" s="37" t="s">
        <v>150</v>
      </c>
      <c r="F319" s="42"/>
      <c r="G319" s="42">
        <f>TRUNC(SUM(G315:G318),2)</f>
        <v>7.36</v>
      </c>
      <c r="H319" s="42"/>
      <c r="I319" s="27"/>
    </row>
    <row r="320" spans="1:9" s="167" customFormat="1" ht="57">
      <c r="A320" s="253" t="s">
        <v>165</v>
      </c>
      <c r="B320" s="254" t="s">
        <v>653</v>
      </c>
      <c r="C320" s="255" t="s">
        <v>654</v>
      </c>
      <c r="D320" s="276" t="s">
        <v>141</v>
      </c>
      <c r="E320" s="277">
        <f>4+3+3+2+2+5.5+1.5+1+1+1+1.5+3</f>
        <v>28.5</v>
      </c>
      <c r="F320" s="268">
        <f>F321</f>
        <v>6.74</v>
      </c>
      <c r="G320" s="257">
        <f>TRUNC(F320*1.2882,2)</f>
        <v>8.68</v>
      </c>
      <c r="H320" s="257">
        <f>TRUNC(F320*E320,2)</f>
        <v>192.09</v>
      </c>
      <c r="I320" s="258">
        <f>TRUNC(E320*G320,2)</f>
        <v>247.38</v>
      </c>
    </row>
    <row r="321" spans="1:9" s="77" customFormat="1" ht="57">
      <c r="A321" s="35"/>
      <c r="B321" s="85" t="s">
        <v>653</v>
      </c>
      <c r="C321" s="44" t="s">
        <v>654</v>
      </c>
      <c r="D321" s="106" t="s">
        <v>141</v>
      </c>
      <c r="E321" s="37">
        <v>1</v>
      </c>
      <c r="F321" s="42">
        <f>TRUNC(6.740679,2)</f>
        <v>6.74</v>
      </c>
      <c r="G321" s="42">
        <f>TRUNC(E321*F321,2)</f>
        <v>6.74</v>
      </c>
      <c r="H321" s="42"/>
      <c r="I321" s="27"/>
    </row>
    <row r="322" spans="1:9" s="77" customFormat="1" ht="28.5">
      <c r="A322" s="35"/>
      <c r="B322" s="85" t="s">
        <v>47</v>
      </c>
      <c r="C322" s="44" t="s">
        <v>246</v>
      </c>
      <c r="D322" s="106" t="s">
        <v>148</v>
      </c>
      <c r="E322" s="37">
        <v>0.1925</v>
      </c>
      <c r="F322" s="42">
        <f>TRUNC(9.5236,2)</f>
        <v>9.52</v>
      </c>
      <c r="G322" s="42">
        <f>TRUNC(E322*F322,2)</f>
        <v>1.83</v>
      </c>
      <c r="H322" s="42"/>
      <c r="I322" s="27"/>
    </row>
    <row r="323" spans="1:9" s="77" customFormat="1" ht="14.25">
      <c r="A323" s="35"/>
      <c r="B323" s="85" t="s">
        <v>98</v>
      </c>
      <c r="C323" s="44" t="s">
        <v>229</v>
      </c>
      <c r="D323" s="106" t="s">
        <v>148</v>
      </c>
      <c r="E323" s="37">
        <v>0.132</v>
      </c>
      <c r="F323" s="42">
        <f>TRUNC(3.17,2)</f>
        <v>3.17</v>
      </c>
      <c r="G323" s="42">
        <f>TRUNC(E323*F323,2)</f>
        <v>0.41</v>
      </c>
      <c r="H323" s="42"/>
      <c r="I323" s="27"/>
    </row>
    <row r="324" spans="1:9" s="77" customFormat="1" ht="28.5">
      <c r="A324" s="35"/>
      <c r="B324" s="85" t="s">
        <v>386</v>
      </c>
      <c r="C324" s="44" t="s">
        <v>387</v>
      </c>
      <c r="D324" s="106" t="s">
        <v>45</v>
      </c>
      <c r="E324" s="37">
        <v>0.14420000000000002</v>
      </c>
      <c r="F324" s="42">
        <f>TRUNC(13.08,2)</f>
        <v>13.08</v>
      </c>
      <c r="G324" s="42">
        <f>TRUNC(E324*F324,2)</f>
        <v>1.88</v>
      </c>
      <c r="H324" s="42"/>
      <c r="I324" s="27"/>
    </row>
    <row r="325" spans="1:9" s="77" customFormat="1" ht="28.5">
      <c r="A325" s="35"/>
      <c r="B325" s="85" t="s">
        <v>408</v>
      </c>
      <c r="C325" s="44" t="s">
        <v>409</v>
      </c>
      <c r="D325" s="106" t="s">
        <v>45</v>
      </c>
      <c r="E325" s="37">
        <v>0.14420000000000002</v>
      </c>
      <c r="F325" s="42">
        <f>TRUNC(18.05,2)</f>
        <v>18.05</v>
      </c>
      <c r="G325" s="42">
        <f>TRUNC(E325*F325,2)</f>
        <v>2.6</v>
      </c>
      <c r="H325" s="42"/>
      <c r="I325" s="27"/>
    </row>
    <row r="326" spans="1:9" s="77" customFormat="1" ht="14.25">
      <c r="A326" s="35"/>
      <c r="B326" s="85"/>
      <c r="C326" s="44"/>
      <c r="D326" s="106"/>
      <c r="E326" s="37" t="s">
        <v>150</v>
      </c>
      <c r="F326" s="42"/>
      <c r="G326" s="42">
        <f>TRUNC(SUM(G322:G325),2)</f>
        <v>6.72</v>
      </c>
      <c r="H326" s="42"/>
      <c r="I326" s="27"/>
    </row>
    <row r="327" spans="1:9" s="196" customFormat="1" ht="28.5">
      <c r="A327" s="253" t="s">
        <v>166</v>
      </c>
      <c r="B327" s="254" t="s">
        <v>655</v>
      </c>
      <c r="C327" s="255" t="s">
        <v>656</v>
      </c>
      <c r="D327" s="254" t="s">
        <v>148</v>
      </c>
      <c r="E327" s="277">
        <v>3</v>
      </c>
      <c r="F327" s="268">
        <f>TRUNC(F328,2)</f>
        <v>123.49</v>
      </c>
      <c r="G327" s="257">
        <f>TRUNC(F327*1.2882,2)</f>
        <v>159.07</v>
      </c>
      <c r="H327" s="257">
        <f>TRUNC(F327*E327,2)</f>
        <v>370.47</v>
      </c>
      <c r="I327" s="258">
        <f>TRUNC(E327*G327,2)</f>
        <v>477.21</v>
      </c>
    </row>
    <row r="328" spans="1:9" s="77" customFormat="1" ht="28.5">
      <c r="A328" s="35"/>
      <c r="B328" s="85" t="s">
        <v>655</v>
      </c>
      <c r="C328" s="44" t="s">
        <v>656</v>
      </c>
      <c r="D328" s="85" t="s">
        <v>148</v>
      </c>
      <c r="E328" s="37">
        <v>1</v>
      </c>
      <c r="F328" s="42">
        <f>TRUNC(123.49843,2)</f>
        <v>123.49</v>
      </c>
      <c r="G328" s="42">
        <f>TRUNC(E328*F328,2)</f>
        <v>123.49</v>
      </c>
      <c r="H328" s="42"/>
      <c r="I328" s="27"/>
    </row>
    <row r="329" spans="1:9" s="77" customFormat="1" ht="28.5">
      <c r="A329" s="35"/>
      <c r="B329" s="85" t="s">
        <v>239</v>
      </c>
      <c r="C329" s="44" t="s">
        <v>585</v>
      </c>
      <c r="D329" s="85" t="s">
        <v>148</v>
      </c>
      <c r="E329" s="37">
        <v>1</v>
      </c>
      <c r="F329" s="42">
        <f>TRUNC(101.0537,2)</f>
        <v>101.05</v>
      </c>
      <c r="G329" s="42">
        <f>TRUNC(E329*F329,2)</f>
        <v>101.05</v>
      </c>
      <c r="H329" s="42"/>
      <c r="I329" s="27"/>
    </row>
    <row r="330" spans="1:9" s="77" customFormat="1" ht="28.5">
      <c r="A330" s="35"/>
      <c r="B330" s="85" t="s">
        <v>386</v>
      </c>
      <c r="C330" s="44" t="s">
        <v>387</v>
      </c>
      <c r="D330" s="85" t="s">
        <v>45</v>
      </c>
      <c r="E330" s="37">
        <v>0.721</v>
      </c>
      <c r="F330" s="42">
        <f>TRUNC(13.08,2)</f>
        <v>13.08</v>
      </c>
      <c r="G330" s="42">
        <f>TRUNC(E330*F330,2)</f>
        <v>9.43</v>
      </c>
      <c r="H330" s="42"/>
      <c r="I330" s="27"/>
    </row>
    <row r="331" spans="1:9" s="77" customFormat="1" ht="28.5">
      <c r="A331" s="35"/>
      <c r="B331" s="85" t="s">
        <v>408</v>
      </c>
      <c r="C331" s="44" t="s">
        <v>409</v>
      </c>
      <c r="D331" s="85" t="s">
        <v>45</v>
      </c>
      <c r="E331" s="37">
        <v>0.721</v>
      </c>
      <c r="F331" s="42">
        <f>TRUNC(18.05,2)</f>
        <v>18.05</v>
      </c>
      <c r="G331" s="42">
        <f>TRUNC(E331*F331,2)</f>
        <v>13.01</v>
      </c>
      <c r="H331" s="42"/>
      <c r="I331" s="27"/>
    </row>
    <row r="332" spans="1:9" s="77" customFormat="1" ht="14.25">
      <c r="A332" s="35"/>
      <c r="B332" s="85"/>
      <c r="C332" s="44"/>
      <c r="D332" s="85"/>
      <c r="E332" s="37" t="s">
        <v>150</v>
      </c>
      <c r="F332" s="42"/>
      <c r="G332" s="42">
        <f>TRUNC(SUM(G329:G331),2)</f>
        <v>123.49</v>
      </c>
      <c r="H332" s="42"/>
      <c r="I332" s="27"/>
    </row>
    <row r="333" spans="1:9" s="196" customFormat="1" ht="28.5">
      <c r="A333" s="253" t="s">
        <v>167</v>
      </c>
      <c r="B333" s="254" t="s">
        <v>657</v>
      </c>
      <c r="C333" s="255" t="s">
        <v>658</v>
      </c>
      <c r="D333" s="254" t="s">
        <v>148</v>
      </c>
      <c r="E333" s="277">
        <v>3</v>
      </c>
      <c r="F333" s="268">
        <f>TRUNC(F334,2)</f>
        <v>65.56</v>
      </c>
      <c r="G333" s="257">
        <f>TRUNC(F333*1.2882,2)</f>
        <v>84.45</v>
      </c>
      <c r="H333" s="257">
        <f>TRUNC(F333*E333,2)</f>
        <v>196.68</v>
      </c>
      <c r="I333" s="258">
        <f>TRUNC(E333*G333,2)</f>
        <v>253.35</v>
      </c>
    </row>
    <row r="334" spans="1:9" s="77" customFormat="1" ht="28.5">
      <c r="A334" s="35"/>
      <c r="B334" s="85" t="s">
        <v>657</v>
      </c>
      <c r="C334" s="44" t="s">
        <v>658</v>
      </c>
      <c r="D334" s="85" t="s">
        <v>148</v>
      </c>
      <c r="E334" s="37">
        <v>1</v>
      </c>
      <c r="F334" s="42">
        <f>G338</f>
        <v>65.56</v>
      </c>
      <c r="G334" s="42">
        <f>TRUNC(E334*F334,2)</f>
        <v>65.56</v>
      </c>
      <c r="H334" s="42"/>
      <c r="I334" s="27"/>
    </row>
    <row r="335" spans="1:9" s="77" customFormat="1" ht="28.5">
      <c r="A335" s="35"/>
      <c r="B335" s="85" t="s">
        <v>659</v>
      </c>
      <c r="C335" s="44" t="s">
        <v>660</v>
      </c>
      <c r="D335" s="85" t="s">
        <v>148</v>
      </c>
      <c r="E335" s="37">
        <v>1</v>
      </c>
      <c r="F335" s="42">
        <f>TRUNC(46.3382,2)</f>
        <v>46.33</v>
      </c>
      <c r="G335" s="42">
        <f>TRUNC(E335*F335,2)</f>
        <v>46.33</v>
      </c>
      <c r="H335" s="42"/>
      <c r="I335" s="27"/>
    </row>
    <row r="336" spans="1:9" s="77" customFormat="1" ht="28.5">
      <c r="A336" s="35"/>
      <c r="B336" s="85" t="s">
        <v>386</v>
      </c>
      <c r="C336" s="44" t="s">
        <v>387</v>
      </c>
      <c r="D336" s="85" t="s">
        <v>45</v>
      </c>
      <c r="E336" s="37">
        <v>0.618</v>
      </c>
      <c r="F336" s="42">
        <f>TRUNC(13.08,2)</f>
        <v>13.08</v>
      </c>
      <c r="G336" s="42">
        <f>TRUNC(E336*F336,2)</f>
        <v>8.08</v>
      </c>
      <c r="H336" s="42"/>
      <c r="I336" s="27"/>
    </row>
    <row r="337" spans="1:9" s="77" customFormat="1" ht="28.5">
      <c r="A337" s="35"/>
      <c r="B337" s="85" t="s">
        <v>408</v>
      </c>
      <c r="C337" s="44" t="s">
        <v>409</v>
      </c>
      <c r="D337" s="85" t="s">
        <v>45</v>
      </c>
      <c r="E337" s="37">
        <v>0.618</v>
      </c>
      <c r="F337" s="42">
        <f>TRUNC(18.05,2)</f>
        <v>18.05</v>
      </c>
      <c r="G337" s="42">
        <f>TRUNC(E337*F337,2)</f>
        <v>11.15</v>
      </c>
      <c r="H337" s="42"/>
      <c r="I337" s="27"/>
    </row>
    <row r="338" spans="1:9" s="77" customFormat="1" ht="14.25">
      <c r="A338" s="35"/>
      <c r="B338" s="85"/>
      <c r="C338" s="44"/>
      <c r="D338" s="85"/>
      <c r="E338" s="37" t="s">
        <v>150</v>
      </c>
      <c r="F338" s="42"/>
      <c r="G338" s="42">
        <f>TRUNC(SUM(G335:G337),2)</f>
        <v>65.56</v>
      </c>
      <c r="H338" s="42"/>
      <c r="I338" s="27"/>
    </row>
    <row r="339" spans="1:9" s="196" customFormat="1" ht="28.5">
      <c r="A339" s="253" t="s">
        <v>168</v>
      </c>
      <c r="B339" s="254" t="s">
        <v>836</v>
      </c>
      <c r="C339" s="255" t="s">
        <v>837</v>
      </c>
      <c r="D339" s="254" t="s">
        <v>148</v>
      </c>
      <c r="E339" s="277">
        <v>12</v>
      </c>
      <c r="F339" s="268">
        <f>TRUNC(F340,2)</f>
        <v>53.34</v>
      </c>
      <c r="G339" s="257">
        <f>TRUNC(F339*1.2882,2)</f>
        <v>68.71</v>
      </c>
      <c r="H339" s="257">
        <f>TRUNC(F339*E339,2)</f>
        <v>640.08</v>
      </c>
      <c r="I339" s="258">
        <f>TRUNC(E339*G339,2)</f>
        <v>824.52</v>
      </c>
    </row>
    <row r="340" spans="1:9" s="77" customFormat="1" ht="28.5">
      <c r="A340" s="35"/>
      <c r="B340" s="85" t="s">
        <v>836</v>
      </c>
      <c r="C340" s="44" t="s">
        <v>837</v>
      </c>
      <c r="D340" s="85" t="s">
        <v>148</v>
      </c>
      <c r="E340" s="37">
        <v>1</v>
      </c>
      <c r="F340" s="42">
        <f>G344</f>
        <v>53.34</v>
      </c>
      <c r="G340" s="42">
        <f>TRUNC(E340*F340,2)</f>
        <v>53.34</v>
      </c>
      <c r="H340" s="42"/>
      <c r="I340" s="27"/>
    </row>
    <row r="341" spans="1:9" s="77" customFormat="1" ht="28.5">
      <c r="A341" s="35"/>
      <c r="B341" s="85" t="s">
        <v>838</v>
      </c>
      <c r="C341" s="44" t="s">
        <v>839</v>
      </c>
      <c r="D341" s="85" t="s">
        <v>148</v>
      </c>
      <c r="E341" s="37">
        <v>1</v>
      </c>
      <c r="F341" s="42">
        <f>TRUNC(34.1101,2)</f>
        <v>34.11</v>
      </c>
      <c r="G341" s="42">
        <f>TRUNC(E341*F341,2)</f>
        <v>34.11</v>
      </c>
      <c r="H341" s="42"/>
      <c r="I341" s="27"/>
    </row>
    <row r="342" spans="1:9" s="77" customFormat="1" ht="28.5">
      <c r="A342" s="35"/>
      <c r="B342" s="85" t="s">
        <v>386</v>
      </c>
      <c r="C342" s="44" t="s">
        <v>387</v>
      </c>
      <c r="D342" s="85" t="s">
        <v>45</v>
      </c>
      <c r="E342" s="37">
        <v>0.618</v>
      </c>
      <c r="F342" s="42">
        <f>TRUNC(13.08,2)</f>
        <v>13.08</v>
      </c>
      <c r="G342" s="42">
        <f>TRUNC(E342*F342,2)</f>
        <v>8.08</v>
      </c>
      <c r="H342" s="42"/>
      <c r="I342" s="27"/>
    </row>
    <row r="343" spans="1:9" s="77" customFormat="1" ht="28.5">
      <c r="A343" s="35"/>
      <c r="B343" s="85" t="s">
        <v>408</v>
      </c>
      <c r="C343" s="44" t="s">
        <v>409</v>
      </c>
      <c r="D343" s="85" t="s">
        <v>45</v>
      </c>
      <c r="E343" s="37">
        <v>0.618</v>
      </c>
      <c r="F343" s="42">
        <f>TRUNC(18.05,2)</f>
        <v>18.05</v>
      </c>
      <c r="G343" s="42">
        <f>TRUNC(E343*F343,2)</f>
        <v>11.15</v>
      </c>
      <c r="H343" s="42"/>
      <c r="I343" s="27"/>
    </row>
    <row r="344" spans="1:9" s="77" customFormat="1" ht="14.25">
      <c r="A344" s="35"/>
      <c r="B344" s="85"/>
      <c r="C344" s="44"/>
      <c r="D344" s="85"/>
      <c r="E344" s="37" t="s">
        <v>150</v>
      </c>
      <c r="F344" s="42"/>
      <c r="G344" s="42">
        <f>TRUNC(SUM(G341:G343),2)</f>
        <v>53.34</v>
      </c>
      <c r="H344" s="42"/>
      <c r="I344" s="27"/>
    </row>
    <row r="345" spans="1:9" s="196" customFormat="1" ht="28.5">
      <c r="A345" s="253" t="s">
        <v>169</v>
      </c>
      <c r="B345" s="254" t="s">
        <v>418</v>
      </c>
      <c r="C345" s="255" t="s">
        <v>351</v>
      </c>
      <c r="D345" s="254" t="s">
        <v>148</v>
      </c>
      <c r="E345" s="277">
        <v>4</v>
      </c>
      <c r="F345" s="268">
        <f>TRUNC(G349,2)</f>
        <v>42.72</v>
      </c>
      <c r="G345" s="257">
        <f>TRUNC(F345*1.2882,2)</f>
        <v>55.03</v>
      </c>
      <c r="H345" s="257">
        <f>TRUNC(F345*E345,2)</f>
        <v>170.88</v>
      </c>
      <c r="I345" s="258">
        <f>TRUNC(E345*G345,2)</f>
        <v>220.12</v>
      </c>
    </row>
    <row r="346" spans="1:9" s="77" customFormat="1" ht="28.5">
      <c r="A346" s="35"/>
      <c r="B346" s="85" t="s">
        <v>64</v>
      </c>
      <c r="C346" s="44" t="s">
        <v>586</v>
      </c>
      <c r="D346" s="85" t="s">
        <v>148</v>
      </c>
      <c r="E346" s="37">
        <v>1</v>
      </c>
      <c r="F346" s="42">
        <v>23.4909</v>
      </c>
      <c r="G346" s="27">
        <f>E346*F346</f>
        <v>23.4909</v>
      </c>
      <c r="H346" s="42"/>
      <c r="I346" s="27"/>
    </row>
    <row r="347" spans="1:9" s="77" customFormat="1" ht="28.5">
      <c r="A347" s="35"/>
      <c r="B347" s="85" t="s">
        <v>386</v>
      </c>
      <c r="C347" s="44" t="s">
        <v>387</v>
      </c>
      <c r="D347" s="85" t="s">
        <v>45</v>
      </c>
      <c r="E347" s="37">
        <v>0.618</v>
      </c>
      <c r="F347" s="42">
        <v>13.08</v>
      </c>
      <c r="G347" s="27">
        <f>E347*F347</f>
        <v>8.08344</v>
      </c>
      <c r="H347" s="42"/>
      <c r="I347" s="27"/>
    </row>
    <row r="348" spans="1:9" s="77" customFormat="1" ht="28.5">
      <c r="A348" s="35"/>
      <c r="B348" s="85" t="s">
        <v>408</v>
      </c>
      <c r="C348" s="44" t="s">
        <v>409</v>
      </c>
      <c r="D348" s="85" t="s">
        <v>45</v>
      </c>
      <c r="E348" s="37">
        <v>0.618</v>
      </c>
      <c r="F348" s="42">
        <v>18.05</v>
      </c>
      <c r="G348" s="27">
        <f>E348*F348</f>
        <v>11.1549</v>
      </c>
      <c r="H348" s="42"/>
      <c r="I348" s="27"/>
    </row>
    <row r="349" spans="1:9" s="77" customFormat="1" ht="14.25">
      <c r="A349" s="35"/>
      <c r="B349" s="85"/>
      <c r="C349" s="44"/>
      <c r="D349" s="85"/>
      <c r="E349" s="37" t="s">
        <v>150</v>
      </c>
      <c r="F349" s="42"/>
      <c r="G349" s="27">
        <f>SUM(G346:G348)</f>
        <v>42.72924</v>
      </c>
      <c r="H349" s="42"/>
      <c r="I349" s="27"/>
    </row>
    <row r="350" spans="1:9" s="196" customFormat="1" ht="57">
      <c r="A350" s="253" t="s">
        <v>170</v>
      </c>
      <c r="B350" s="254" t="s">
        <v>419</v>
      </c>
      <c r="C350" s="255" t="s">
        <v>352</v>
      </c>
      <c r="D350" s="254" t="s">
        <v>141</v>
      </c>
      <c r="E350" s="277">
        <v>17</v>
      </c>
      <c r="F350" s="268">
        <f>TRUNC(I355,2)</f>
        <v>41.88</v>
      </c>
      <c r="G350" s="257">
        <f>TRUNC(F350*1.2882,2)</f>
        <v>53.94</v>
      </c>
      <c r="H350" s="257">
        <f>TRUNC(F350*E350,2)</f>
        <v>711.96</v>
      </c>
      <c r="I350" s="258">
        <f>TRUNC(E350*G350,2)</f>
        <v>916.98</v>
      </c>
    </row>
    <row r="351" spans="1:9" s="77" customFormat="1" ht="28.5">
      <c r="A351" s="35"/>
      <c r="B351" s="85" t="s">
        <v>197</v>
      </c>
      <c r="C351" s="44" t="s">
        <v>247</v>
      </c>
      <c r="D351" s="85" t="s">
        <v>148</v>
      </c>
      <c r="E351" s="37">
        <v>0.1925</v>
      </c>
      <c r="F351" s="42">
        <v>138.7673</v>
      </c>
      <c r="G351" s="42"/>
      <c r="H351" s="42"/>
      <c r="I351" s="27">
        <f>TRUNC(E351*F351,2)</f>
        <v>26.71</v>
      </c>
    </row>
    <row r="352" spans="1:9" s="77" customFormat="1" ht="14.25">
      <c r="A352" s="35"/>
      <c r="B352" s="85" t="s">
        <v>98</v>
      </c>
      <c r="C352" s="44" t="s">
        <v>229</v>
      </c>
      <c r="D352" s="85" t="s">
        <v>148</v>
      </c>
      <c r="E352" s="37">
        <v>0.44000000000000006</v>
      </c>
      <c r="F352" s="42">
        <v>3.17</v>
      </c>
      <c r="G352" s="42"/>
      <c r="H352" s="42"/>
      <c r="I352" s="27">
        <f>TRUNC(E352*F352,2)</f>
        <v>1.39</v>
      </c>
    </row>
    <row r="353" spans="1:9" s="77" customFormat="1" ht="28.5">
      <c r="A353" s="35"/>
      <c r="B353" s="85" t="s">
        <v>386</v>
      </c>
      <c r="C353" s="44" t="s">
        <v>387</v>
      </c>
      <c r="D353" s="85" t="s">
        <v>45</v>
      </c>
      <c r="E353" s="37">
        <v>0.4429</v>
      </c>
      <c r="F353" s="42">
        <v>13.08</v>
      </c>
      <c r="G353" s="42"/>
      <c r="H353" s="42"/>
      <c r="I353" s="27">
        <f>TRUNC(E353*F353,2)</f>
        <v>5.79</v>
      </c>
    </row>
    <row r="354" spans="1:9" s="77" customFormat="1" ht="28.5">
      <c r="A354" s="35"/>
      <c r="B354" s="85" t="s">
        <v>408</v>
      </c>
      <c r="C354" s="44" t="s">
        <v>409</v>
      </c>
      <c r="D354" s="85" t="s">
        <v>45</v>
      </c>
      <c r="E354" s="37">
        <v>0.4429</v>
      </c>
      <c r="F354" s="42">
        <v>18.05</v>
      </c>
      <c r="G354" s="42"/>
      <c r="H354" s="42"/>
      <c r="I354" s="27">
        <f>TRUNC(E354*F354,2)</f>
        <v>7.99</v>
      </c>
    </row>
    <row r="355" spans="1:9" s="77" customFormat="1" ht="14.25">
      <c r="A355" s="35"/>
      <c r="B355" s="85"/>
      <c r="C355" s="44"/>
      <c r="D355" s="85"/>
      <c r="E355" s="37" t="s">
        <v>150</v>
      </c>
      <c r="F355" s="42"/>
      <c r="G355" s="42"/>
      <c r="H355" s="42"/>
      <c r="I355" s="27">
        <f>TRUNC(SUM(I351:I354),2)</f>
        <v>41.88</v>
      </c>
    </row>
    <row r="356" spans="1:9" s="167" customFormat="1" ht="57">
      <c r="A356" s="253" t="s">
        <v>171</v>
      </c>
      <c r="B356" s="254" t="s">
        <v>638</v>
      </c>
      <c r="C356" s="255" t="s">
        <v>639</v>
      </c>
      <c r="D356" s="254" t="s">
        <v>141</v>
      </c>
      <c r="E356" s="277">
        <v>65</v>
      </c>
      <c r="F356" s="268">
        <f>F357</f>
        <v>20.95</v>
      </c>
      <c r="G356" s="257">
        <f>TRUNC(F356*1.2882,2)</f>
        <v>26.98</v>
      </c>
      <c r="H356" s="257">
        <f>TRUNC(F356*E356,2)</f>
        <v>1361.75</v>
      </c>
      <c r="I356" s="258">
        <f>TRUNC(E356*G356,2)</f>
        <v>1753.7</v>
      </c>
    </row>
    <row r="357" spans="1:9" s="77" customFormat="1" ht="57">
      <c r="A357" s="35"/>
      <c r="B357" s="85" t="s">
        <v>638</v>
      </c>
      <c r="C357" s="44" t="s">
        <v>639</v>
      </c>
      <c r="D357" s="85" t="s">
        <v>141</v>
      </c>
      <c r="E357" s="37">
        <v>1</v>
      </c>
      <c r="F357" s="42">
        <f>G362</f>
        <v>20.95</v>
      </c>
      <c r="G357" s="42">
        <f>TRUNC(E357*F357,2)</f>
        <v>20.95</v>
      </c>
      <c r="H357" s="42"/>
      <c r="I357" s="27"/>
    </row>
    <row r="358" spans="1:9" s="77" customFormat="1" ht="14.25">
      <c r="A358" s="35"/>
      <c r="B358" s="85" t="s">
        <v>48</v>
      </c>
      <c r="C358" s="44" t="s">
        <v>234</v>
      </c>
      <c r="D358" s="85" t="s">
        <v>148</v>
      </c>
      <c r="E358" s="37">
        <v>0.1925</v>
      </c>
      <c r="F358" s="42">
        <f>TRUNC(45.224,2)</f>
        <v>45.22</v>
      </c>
      <c r="G358" s="42">
        <f>TRUNC(E358*F358,2)</f>
        <v>8.7</v>
      </c>
      <c r="H358" s="42"/>
      <c r="I358" s="27"/>
    </row>
    <row r="359" spans="1:9" s="77" customFormat="1" ht="14.25">
      <c r="A359" s="35"/>
      <c r="B359" s="85" t="s">
        <v>98</v>
      </c>
      <c r="C359" s="44" t="s">
        <v>229</v>
      </c>
      <c r="D359" s="85" t="s">
        <v>148</v>
      </c>
      <c r="E359" s="37">
        <v>0.33</v>
      </c>
      <c r="F359" s="42">
        <f>TRUNC(3.17,2)</f>
        <v>3.17</v>
      </c>
      <c r="G359" s="42">
        <f>TRUNC(E359*F359,2)</f>
        <v>1.04</v>
      </c>
      <c r="H359" s="42"/>
      <c r="I359" s="27"/>
    </row>
    <row r="360" spans="1:9" s="77" customFormat="1" ht="28.5">
      <c r="A360" s="35"/>
      <c r="B360" s="85" t="s">
        <v>386</v>
      </c>
      <c r="C360" s="44" t="s">
        <v>387</v>
      </c>
      <c r="D360" s="85" t="s">
        <v>45</v>
      </c>
      <c r="E360" s="37">
        <v>0.3605</v>
      </c>
      <c r="F360" s="42">
        <f>TRUNC(13.08,2)</f>
        <v>13.08</v>
      </c>
      <c r="G360" s="42">
        <f>TRUNC(E360*F360,2)</f>
        <v>4.71</v>
      </c>
      <c r="H360" s="42"/>
      <c r="I360" s="27"/>
    </row>
    <row r="361" spans="1:9" s="77" customFormat="1" ht="28.5">
      <c r="A361" s="35"/>
      <c r="B361" s="85" t="s">
        <v>408</v>
      </c>
      <c r="C361" s="44" t="s">
        <v>409</v>
      </c>
      <c r="D361" s="85" t="s">
        <v>45</v>
      </c>
      <c r="E361" s="37">
        <v>0.3605</v>
      </c>
      <c r="F361" s="42">
        <f>TRUNC(18.05,2)</f>
        <v>18.05</v>
      </c>
      <c r="G361" s="42">
        <f>TRUNC(E361*F361,2)</f>
        <v>6.5</v>
      </c>
      <c r="H361" s="42"/>
      <c r="I361" s="27"/>
    </row>
    <row r="362" spans="1:9" s="77" customFormat="1" ht="14.25">
      <c r="A362" s="35"/>
      <c r="B362" s="85"/>
      <c r="C362" s="44"/>
      <c r="D362" s="85"/>
      <c r="E362" s="37" t="s">
        <v>150</v>
      </c>
      <c r="F362" s="42"/>
      <c r="G362" s="42">
        <f>TRUNC(SUM(G358:G361),2)</f>
        <v>20.95</v>
      </c>
      <c r="H362" s="42"/>
      <c r="I362" s="27"/>
    </row>
    <row r="363" spans="1:9" s="196" customFormat="1" ht="42.75">
      <c r="A363" s="253" t="s">
        <v>112</v>
      </c>
      <c r="B363" s="254" t="s">
        <v>422</v>
      </c>
      <c r="C363" s="255" t="s">
        <v>354</v>
      </c>
      <c r="D363" s="254" t="s">
        <v>141</v>
      </c>
      <c r="E363" s="277">
        <v>25</v>
      </c>
      <c r="F363" s="268">
        <f>TRUNC(I367,2)</f>
        <v>17.99</v>
      </c>
      <c r="G363" s="257">
        <f>TRUNC(F363*1.2882,2)</f>
        <v>23.17</v>
      </c>
      <c r="H363" s="257">
        <f>TRUNC(F363*E363,2)</f>
        <v>449.75</v>
      </c>
      <c r="I363" s="258">
        <f>TRUNC(E363*G363,2)</f>
        <v>579.25</v>
      </c>
    </row>
    <row r="364" spans="1:9" s="77" customFormat="1" ht="14.25">
      <c r="A364" s="35"/>
      <c r="B364" s="85" t="s">
        <v>91</v>
      </c>
      <c r="C364" s="44" t="s">
        <v>248</v>
      </c>
      <c r="D364" s="85" t="s">
        <v>148</v>
      </c>
      <c r="E364" s="37">
        <v>0.1925</v>
      </c>
      <c r="F364" s="42">
        <v>43.5731</v>
      </c>
      <c r="G364" s="42"/>
      <c r="H364" s="42"/>
      <c r="I364" s="27">
        <f>TRUNC(E364*F364,2)</f>
        <v>8.38</v>
      </c>
    </row>
    <row r="365" spans="1:9" s="77" customFormat="1" ht="28.5">
      <c r="A365" s="35"/>
      <c r="B365" s="85" t="s">
        <v>386</v>
      </c>
      <c r="C365" s="44" t="s">
        <v>387</v>
      </c>
      <c r="D365" s="85" t="s">
        <v>45</v>
      </c>
      <c r="E365" s="37">
        <v>0.309</v>
      </c>
      <c r="F365" s="42">
        <v>13.08</v>
      </c>
      <c r="G365" s="42"/>
      <c r="H365" s="42"/>
      <c r="I365" s="27">
        <f>TRUNC(E365*F365,2)</f>
        <v>4.04</v>
      </c>
    </row>
    <row r="366" spans="1:9" s="77" customFormat="1" ht="28.5">
      <c r="A366" s="35"/>
      <c r="B366" s="85" t="s">
        <v>408</v>
      </c>
      <c r="C366" s="44" t="s">
        <v>409</v>
      </c>
      <c r="D366" s="85" t="s">
        <v>45</v>
      </c>
      <c r="E366" s="37">
        <v>0.309</v>
      </c>
      <c r="F366" s="42">
        <v>18.05</v>
      </c>
      <c r="G366" s="42"/>
      <c r="H366" s="42"/>
      <c r="I366" s="27">
        <f>TRUNC(E366*F366,2)</f>
        <v>5.57</v>
      </c>
    </row>
    <row r="367" spans="1:9" s="77" customFormat="1" ht="14.25">
      <c r="A367" s="35"/>
      <c r="B367" s="85"/>
      <c r="C367" s="44"/>
      <c r="D367" s="85"/>
      <c r="E367" s="37" t="s">
        <v>150</v>
      </c>
      <c r="F367" s="42"/>
      <c r="G367" s="42"/>
      <c r="H367" s="42"/>
      <c r="I367" s="27">
        <f>TRUNC(SUM(I364:I366),2)</f>
        <v>17.99</v>
      </c>
    </row>
    <row r="368" spans="1:9" s="196" customFormat="1" ht="57">
      <c r="A368" s="253" t="s">
        <v>172</v>
      </c>
      <c r="B368" s="254" t="s">
        <v>420</v>
      </c>
      <c r="C368" s="255" t="s">
        <v>350</v>
      </c>
      <c r="D368" s="254" t="s">
        <v>141</v>
      </c>
      <c r="E368" s="277">
        <v>18</v>
      </c>
      <c r="F368" s="268">
        <f>TRUNC(I373,2)</f>
        <v>13.43</v>
      </c>
      <c r="G368" s="257">
        <f>TRUNC(F368*1.2882,2)</f>
        <v>17.3</v>
      </c>
      <c r="H368" s="257">
        <f>TRUNC(F368*E368,2)</f>
        <v>241.74</v>
      </c>
      <c r="I368" s="258">
        <f>TRUNC(E368*G368,2)</f>
        <v>311.4</v>
      </c>
    </row>
    <row r="369" spans="1:9" s="77" customFormat="1" ht="14.25">
      <c r="A369" s="35"/>
      <c r="B369" s="85" t="s">
        <v>135</v>
      </c>
      <c r="C369" s="44" t="s">
        <v>249</v>
      </c>
      <c r="D369" s="85" t="s">
        <v>148</v>
      </c>
      <c r="E369" s="37">
        <v>0.1925</v>
      </c>
      <c r="F369" s="42">
        <v>29.9326</v>
      </c>
      <c r="G369" s="42"/>
      <c r="H369" s="42"/>
      <c r="I369" s="27">
        <f>TRUNC(E369*F369,2)</f>
        <v>5.76</v>
      </c>
    </row>
    <row r="370" spans="1:9" s="77" customFormat="1" ht="14.25">
      <c r="A370" s="35"/>
      <c r="B370" s="85" t="s">
        <v>98</v>
      </c>
      <c r="C370" s="44" t="s">
        <v>229</v>
      </c>
      <c r="D370" s="85" t="s">
        <v>148</v>
      </c>
      <c r="E370" s="37">
        <v>0.198</v>
      </c>
      <c r="F370" s="42">
        <v>3.17</v>
      </c>
      <c r="G370" s="42"/>
      <c r="H370" s="42"/>
      <c r="I370" s="27">
        <f>TRUNC(E370*F370,2)</f>
        <v>0.62</v>
      </c>
    </row>
    <row r="371" spans="1:9" s="77" customFormat="1" ht="28.5">
      <c r="A371" s="35"/>
      <c r="B371" s="85" t="s">
        <v>386</v>
      </c>
      <c r="C371" s="44" t="s">
        <v>387</v>
      </c>
      <c r="D371" s="85" t="s">
        <v>45</v>
      </c>
      <c r="E371" s="37">
        <v>0.2266</v>
      </c>
      <c r="F371" s="42">
        <v>13.08</v>
      </c>
      <c r="G371" s="42"/>
      <c r="H371" s="42"/>
      <c r="I371" s="27">
        <f>TRUNC(E371*F371,2)</f>
        <v>2.96</v>
      </c>
    </row>
    <row r="372" spans="1:9" s="77" customFormat="1" ht="28.5">
      <c r="A372" s="35"/>
      <c r="B372" s="85" t="s">
        <v>408</v>
      </c>
      <c r="C372" s="44" t="s">
        <v>409</v>
      </c>
      <c r="D372" s="85" t="s">
        <v>45</v>
      </c>
      <c r="E372" s="37">
        <v>0.2266</v>
      </c>
      <c r="F372" s="42">
        <v>18.05</v>
      </c>
      <c r="G372" s="42"/>
      <c r="H372" s="42"/>
      <c r="I372" s="27">
        <f>TRUNC(E372*F372,2)</f>
        <v>4.09</v>
      </c>
    </row>
    <row r="373" spans="1:9" s="77" customFormat="1" ht="14.25">
      <c r="A373" s="35"/>
      <c r="B373" s="85"/>
      <c r="C373" s="44"/>
      <c r="D373" s="85"/>
      <c r="E373" s="37" t="s">
        <v>150</v>
      </c>
      <c r="F373" s="42"/>
      <c r="G373" s="42"/>
      <c r="H373" s="42"/>
      <c r="I373" s="27">
        <f>TRUNC(SUM(I369:I372),2)</f>
        <v>13.43</v>
      </c>
    </row>
    <row r="374" spans="1:9" s="196" customFormat="1" ht="57">
      <c r="A374" s="253" t="s">
        <v>173</v>
      </c>
      <c r="B374" s="254" t="s">
        <v>421</v>
      </c>
      <c r="C374" s="255" t="s">
        <v>353</v>
      </c>
      <c r="D374" s="254" t="s">
        <v>141</v>
      </c>
      <c r="E374" s="277">
        <v>48</v>
      </c>
      <c r="F374" s="268">
        <f>TRUNC(I379,2)</f>
        <v>9.55</v>
      </c>
      <c r="G374" s="257">
        <f>TRUNC(F374*1.2882,2)</f>
        <v>12.3</v>
      </c>
      <c r="H374" s="257">
        <f>TRUNC(F374*E374,2)</f>
        <v>458.4</v>
      </c>
      <c r="I374" s="258">
        <f>TRUNC(E374*G374,2)</f>
        <v>590.4</v>
      </c>
    </row>
    <row r="375" spans="1:9" s="77" customFormat="1" ht="28.5">
      <c r="A375" s="35"/>
      <c r="B375" s="85" t="s">
        <v>134</v>
      </c>
      <c r="C375" s="44" t="s">
        <v>242</v>
      </c>
      <c r="D375" s="85" t="s">
        <v>148</v>
      </c>
      <c r="E375" s="37">
        <v>0.1925</v>
      </c>
      <c r="F375" s="42">
        <v>17.2208</v>
      </c>
      <c r="G375" s="42"/>
      <c r="H375" s="42"/>
      <c r="I375" s="27">
        <f>TRUNC(E375*F375,2)</f>
        <v>3.31</v>
      </c>
    </row>
    <row r="376" spans="1:9" s="77" customFormat="1" ht="14.25">
      <c r="A376" s="35"/>
      <c r="B376" s="85" t="s">
        <v>98</v>
      </c>
      <c r="C376" s="44" t="s">
        <v>229</v>
      </c>
      <c r="D376" s="85" t="s">
        <v>148</v>
      </c>
      <c r="E376" s="37">
        <v>0.15400000000000003</v>
      </c>
      <c r="F376" s="42">
        <v>3.17</v>
      </c>
      <c r="G376" s="42"/>
      <c r="H376" s="42"/>
      <c r="I376" s="27">
        <f>TRUNC(E376*F376,2)</f>
        <v>0.48</v>
      </c>
    </row>
    <row r="377" spans="1:9" s="77" customFormat="1" ht="28.5">
      <c r="A377" s="35"/>
      <c r="B377" s="85" t="s">
        <v>386</v>
      </c>
      <c r="C377" s="44" t="s">
        <v>387</v>
      </c>
      <c r="D377" s="85" t="s">
        <v>45</v>
      </c>
      <c r="E377" s="37">
        <v>0.1854</v>
      </c>
      <c r="F377" s="42">
        <v>13.08</v>
      </c>
      <c r="G377" s="42"/>
      <c r="H377" s="42"/>
      <c r="I377" s="27">
        <f>TRUNC(E377*F377,2)</f>
        <v>2.42</v>
      </c>
    </row>
    <row r="378" spans="1:9" s="77" customFormat="1" ht="28.5">
      <c r="A378" s="35"/>
      <c r="B378" s="85" t="s">
        <v>408</v>
      </c>
      <c r="C378" s="44" t="s">
        <v>409</v>
      </c>
      <c r="D378" s="85" t="s">
        <v>45</v>
      </c>
      <c r="E378" s="37">
        <v>0.1854</v>
      </c>
      <c r="F378" s="42">
        <v>18.05</v>
      </c>
      <c r="G378" s="42"/>
      <c r="H378" s="42"/>
      <c r="I378" s="27">
        <f>TRUNC(E378*F378,2)</f>
        <v>3.34</v>
      </c>
    </row>
    <row r="379" spans="1:9" s="77" customFormat="1" ht="14.25">
      <c r="A379" s="35"/>
      <c r="B379" s="85"/>
      <c r="C379" s="44"/>
      <c r="D379" s="85"/>
      <c r="E379" s="37" t="s">
        <v>150</v>
      </c>
      <c r="F379" s="42"/>
      <c r="G379" s="42"/>
      <c r="H379" s="42"/>
      <c r="I379" s="27">
        <f>TRUNC(SUM(I375:I378),2)</f>
        <v>9.55</v>
      </c>
    </row>
    <row r="380" spans="1:9" s="196" customFormat="1" ht="57">
      <c r="A380" s="253" t="s">
        <v>174</v>
      </c>
      <c r="B380" s="254" t="s">
        <v>423</v>
      </c>
      <c r="C380" s="255" t="s">
        <v>355</v>
      </c>
      <c r="D380" s="254" t="s">
        <v>148</v>
      </c>
      <c r="E380" s="277">
        <v>4</v>
      </c>
      <c r="F380" s="268">
        <f>TRUNC(I387,2)</f>
        <v>92.13</v>
      </c>
      <c r="G380" s="257">
        <f>TRUNC(F380*1.2882,2)</f>
        <v>118.68</v>
      </c>
      <c r="H380" s="257">
        <f>TRUNC(F380*E380,2)</f>
        <v>368.52</v>
      </c>
      <c r="I380" s="258">
        <f>TRUNC(E380*G380,2)</f>
        <v>474.72</v>
      </c>
    </row>
    <row r="381" spans="1:9" s="77" customFormat="1" ht="14.25">
      <c r="A381" s="35"/>
      <c r="B381" s="85" t="s">
        <v>75</v>
      </c>
      <c r="C381" s="44" t="s">
        <v>252</v>
      </c>
      <c r="D381" s="85" t="s">
        <v>148</v>
      </c>
      <c r="E381" s="37">
        <v>3</v>
      </c>
      <c r="F381" s="42">
        <v>1.3001</v>
      </c>
      <c r="G381" s="42"/>
      <c r="H381" s="42"/>
      <c r="I381" s="27">
        <f aca="true" t="shared" si="12" ref="I381:I386">TRUNC(E381*F381,2)</f>
        <v>3.9</v>
      </c>
    </row>
    <row r="382" spans="1:9" s="77" customFormat="1" ht="28.5">
      <c r="A382" s="35"/>
      <c r="B382" s="85" t="s">
        <v>74</v>
      </c>
      <c r="C382" s="44" t="s">
        <v>251</v>
      </c>
      <c r="D382" s="85" t="s">
        <v>148</v>
      </c>
      <c r="E382" s="37">
        <v>1</v>
      </c>
      <c r="F382" s="42">
        <v>21.67</v>
      </c>
      <c r="G382" s="42"/>
      <c r="H382" s="42"/>
      <c r="I382" s="27">
        <f t="shared" si="12"/>
        <v>21.67</v>
      </c>
    </row>
    <row r="383" spans="1:9" s="77" customFormat="1" ht="14.25">
      <c r="A383" s="35"/>
      <c r="B383" s="85" t="s">
        <v>22</v>
      </c>
      <c r="C383" s="44" t="s">
        <v>250</v>
      </c>
      <c r="D383" s="85" t="s">
        <v>148</v>
      </c>
      <c r="E383" s="37">
        <v>1</v>
      </c>
      <c r="F383" s="42">
        <v>12.7221</v>
      </c>
      <c r="G383" s="42"/>
      <c r="H383" s="42"/>
      <c r="I383" s="27">
        <f t="shared" si="12"/>
        <v>12.72</v>
      </c>
    </row>
    <row r="384" spans="1:9" s="77" customFormat="1" ht="14.25">
      <c r="A384" s="35"/>
      <c r="B384" s="85" t="s">
        <v>91</v>
      </c>
      <c r="C384" s="44" t="s">
        <v>248</v>
      </c>
      <c r="D384" s="85" t="s">
        <v>148</v>
      </c>
      <c r="E384" s="37">
        <v>0.5</v>
      </c>
      <c r="F384" s="42">
        <v>43.5731</v>
      </c>
      <c r="G384" s="42"/>
      <c r="H384" s="42"/>
      <c r="I384" s="27">
        <f t="shared" si="12"/>
        <v>21.78</v>
      </c>
    </row>
    <row r="385" spans="1:9" s="77" customFormat="1" ht="28.5">
      <c r="A385" s="35"/>
      <c r="B385" s="85" t="s">
        <v>386</v>
      </c>
      <c r="C385" s="44" t="s">
        <v>387</v>
      </c>
      <c r="D385" s="85" t="s">
        <v>45</v>
      </c>
      <c r="E385" s="37">
        <v>1.03</v>
      </c>
      <c r="F385" s="42">
        <v>13.08</v>
      </c>
      <c r="G385" s="42"/>
      <c r="H385" s="42"/>
      <c r="I385" s="27">
        <f t="shared" si="12"/>
        <v>13.47</v>
      </c>
    </row>
    <row r="386" spans="1:9" s="77" customFormat="1" ht="28.5">
      <c r="A386" s="35"/>
      <c r="B386" s="85" t="s">
        <v>408</v>
      </c>
      <c r="C386" s="44" t="s">
        <v>409</v>
      </c>
      <c r="D386" s="85" t="s">
        <v>45</v>
      </c>
      <c r="E386" s="37">
        <v>1.03</v>
      </c>
      <c r="F386" s="42">
        <v>18.05</v>
      </c>
      <c r="G386" s="42"/>
      <c r="H386" s="42"/>
      <c r="I386" s="27">
        <f t="shared" si="12"/>
        <v>18.59</v>
      </c>
    </row>
    <row r="387" spans="1:9" s="77" customFormat="1" ht="14.25">
      <c r="A387" s="35"/>
      <c r="B387" s="85"/>
      <c r="C387" s="44"/>
      <c r="D387" s="85"/>
      <c r="E387" s="37" t="s">
        <v>150</v>
      </c>
      <c r="F387" s="42"/>
      <c r="G387" s="42"/>
      <c r="H387" s="42"/>
      <c r="I387" s="27">
        <f>TRUNC(SUM(I381:I386),2)</f>
        <v>92.13</v>
      </c>
    </row>
    <row r="388" spans="1:9" s="196" customFormat="1" ht="57">
      <c r="A388" s="253" t="s">
        <v>175</v>
      </c>
      <c r="B388" s="254" t="s">
        <v>640</v>
      </c>
      <c r="C388" s="255" t="s">
        <v>641</v>
      </c>
      <c r="D388" s="254" t="s">
        <v>51</v>
      </c>
      <c r="E388" s="277">
        <v>1</v>
      </c>
      <c r="F388" s="268">
        <f>TRUNC(F389,2)</f>
        <v>197.38</v>
      </c>
      <c r="G388" s="257">
        <f>TRUNC(F388*1.2882,2)</f>
        <v>254.26</v>
      </c>
      <c r="H388" s="257">
        <f>TRUNC(F388*E388,2)</f>
        <v>197.38</v>
      </c>
      <c r="I388" s="258">
        <f>TRUNC(E388*G388,2)</f>
        <v>254.26</v>
      </c>
    </row>
    <row r="389" spans="1:9" s="22" customFormat="1" ht="57">
      <c r="A389" s="35"/>
      <c r="B389" s="85" t="s">
        <v>640</v>
      </c>
      <c r="C389" s="44" t="s">
        <v>641</v>
      </c>
      <c r="D389" s="85" t="s">
        <v>148</v>
      </c>
      <c r="E389" s="37">
        <v>1</v>
      </c>
      <c r="F389" s="55">
        <f>G394</f>
        <v>197.38</v>
      </c>
      <c r="G389" s="55">
        <f>TRUNC(E389*F389,2)</f>
        <v>197.38</v>
      </c>
      <c r="H389" s="55"/>
      <c r="I389" s="56">
        <f>TRUNC(E389*F389,2)</f>
        <v>197.38</v>
      </c>
    </row>
    <row r="390" spans="1:9" s="22" customFormat="1" ht="14.25">
      <c r="A390" s="35"/>
      <c r="B390" s="85" t="s">
        <v>642</v>
      </c>
      <c r="C390" s="44" t="s">
        <v>643</v>
      </c>
      <c r="D390" s="85" t="s">
        <v>148</v>
      </c>
      <c r="E390" s="37">
        <v>1</v>
      </c>
      <c r="F390" s="55">
        <f>TRUNC(133,2)</f>
        <v>133</v>
      </c>
      <c r="G390" s="55">
        <f>TRUNC(E390*F390,2)</f>
        <v>133</v>
      </c>
      <c r="H390" s="55"/>
      <c r="I390" s="56"/>
    </row>
    <row r="391" spans="1:9" s="22" customFormat="1" ht="14.25">
      <c r="A391" s="35"/>
      <c r="B391" s="85" t="s">
        <v>644</v>
      </c>
      <c r="C391" s="44" t="s">
        <v>645</v>
      </c>
      <c r="D391" s="85" t="s">
        <v>214</v>
      </c>
      <c r="E391" s="37">
        <v>0.8</v>
      </c>
      <c r="F391" s="55">
        <f>TRUNC(0.337,2)</f>
        <v>0.33</v>
      </c>
      <c r="G391" s="55">
        <f>TRUNC(E391*F391,2)</f>
        <v>0.26</v>
      </c>
      <c r="H391" s="55"/>
      <c r="I391" s="56"/>
    </row>
    <row r="392" spans="1:9" s="22" customFormat="1" ht="28.5">
      <c r="A392" s="35"/>
      <c r="B392" s="85" t="s">
        <v>386</v>
      </c>
      <c r="C392" s="44" t="s">
        <v>387</v>
      </c>
      <c r="D392" s="85" t="s">
        <v>45</v>
      </c>
      <c r="E392" s="37">
        <v>2.06</v>
      </c>
      <c r="F392" s="55">
        <f>TRUNC(13.08,2)</f>
        <v>13.08</v>
      </c>
      <c r="G392" s="55">
        <f>TRUNC(E392*F392,2)</f>
        <v>26.94</v>
      </c>
      <c r="H392" s="55"/>
      <c r="I392" s="56"/>
    </row>
    <row r="393" spans="1:9" s="22" customFormat="1" ht="28.5">
      <c r="A393" s="35"/>
      <c r="B393" s="85" t="s">
        <v>408</v>
      </c>
      <c r="C393" s="44" t="s">
        <v>409</v>
      </c>
      <c r="D393" s="85" t="s">
        <v>45</v>
      </c>
      <c r="E393" s="37">
        <v>2.06</v>
      </c>
      <c r="F393" s="55">
        <f>TRUNC(18.05,2)</f>
        <v>18.05</v>
      </c>
      <c r="G393" s="55">
        <f>TRUNC(E393*F393,2)</f>
        <v>37.18</v>
      </c>
      <c r="H393" s="55"/>
      <c r="I393" s="56"/>
    </row>
    <row r="394" spans="1:9" s="22" customFormat="1" ht="14.25">
      <c r="A394" s="35"/>
      <c r="B394" s="85"/>
      <c r="C394" s="44"/>
      <c r="D394" s="85"/>
      <c r="E394" s="37" t="s">
        <v>150</v>
      </c>
      <c r="F394" s="55"/>
      <c r="G394" s="55">
        <f>TRUNC(SUM(G390:G393),2)</f>
        <v>197.38</v>
      </c>
      <c r="H394" s="55"/>
      <c r="I394" s="56"/>
    </row>
    <row r="395" spans="1:9" s="197" customFormat="1" ht="71.25">
      <c r="A395" s="278" t="s">
        <v>176</v>
      </c>
      <c r="B395" s="279" t="s">
        <v>253</v>
      </c>
      <c r="C395" s="280" t="s">
        <v>198</v>
      </c>
      <c r="D395" s="279" t="s">
        <v>148</v>
      </c>
      <c r="E395" s="282">
        <v>4</v>
      </c>
      <c r="F395" s="283">
        <f>TRUNC(F396,2)</f>
        <v>343.3</v>
      </c>
      <c r="G395" s="284">
        <f>TRUNC(F395*1.2882,2)</f>
        <v>442.23</v>
      </c>
      <c r="H395" s="284">
        <f>TRUNC(F395*E395,2)</f>
        <v>1373.2</v>
      </c>
      <c r="I395" s="285">
        <f>TRUNC(E395*G395,2)</f>
        <v>1768.92</v>
      </c>
    </row>
    <row r="396" spans="1:9" s="129" customFormat="1" ht="85.5">
      <c r="A396" s="130"/>
      <c r="B396" s="131" t="s">
        <v>424</v>
      </c>
      <c r="C396" s="132" t="s">
        <v>425</v>
      </c>
      <c r="D396" s="131" t="s">
        <v>148</v>
      </c>
      <c r="E396" s="133">
        <v>1</v>
      </c>
      <c r="F396" s="133">
        <f>TRUNC(I407,2)</f>
        <v>343.3</v>
      </c>
      <c r="G396" s="133"/>
      <c r="H396" s="133"/>
      <c r="I396" s="137">
        <f aca="true" t="shared" si="13" ref="I396:I406">TRUNC(E396*F396,2)</f>
        <v>343.3</v>
      </c>
    </row>
    <row r="397" spans="1:9" s="129" customFormat="1" ht="28.5">
      <c r="A397" s="130"/>
      <c r="B397" s="131" t="s">
        <v>144</v>
      </c>
      <c r="C397" s="132" t="s">
        <v>215</v>
      </c>
      <c r="D397" s="131" t="s">
        <v>214</v>
      </c>
      <c r="E397" s="133">
        <v>0.05</v>
      </c>
      <c r="F397" s="136">
        <v>8.55</v>
      </c>
      <c r="G397" s="136"/>
      <c r="H397" s="136"/>
      <c r="I397" s="137">
        <f t="shared" si="13"/>
        <v>0.42</v>
      </c>
    </row>
    <row r="398" spans="1:9" s="129" customFormat="1" ht="14.25">
      <c r="A398" s="130"/>
      <c r="B398" s="131" t="s">
        <v>185</v>
      </c>
      <c r="C398" s="132" t="s">
        <v>533</v>
      </c>
      <c r="D398" s="131" t="s">
        <v>141</v>
      </c>
      <c r="E398" s="133">
        <v>1.3</v>
      </c>
      <c r="F398" s="136">
        <v>6.75</v>
      </c>
      <c r="G398" s="136"/>
      <c r="H398" s="136"/>
      <c r="I398" s="137">
        <f t="shared" si="13"/>
        <v>8.77</v>
      </c>
    </row>
    <row r="399" spans="1:9" s="129" customFormat="1" ht="14.25">
      <c r="A399" s="130"/>
      <c r="B399" s="131" t="s">
        <v>102</v>
      </c>
      <c r="C399" s="132" t="s">
        <v>221</v>
      </c>
      <c r="D399" s="131" t="s">
        <v>214</v>
      </c>
      <c r="E399" s="133">
        <v>6.8</v>
      </c>
      <c r="F399" s="136">
        <v>4.1384</v>
      </c>
      <c r="G399" s="136"/>
      <c r="H399" s="136"/>
      <c r="I399" s="137">
        <f t="shared" si="13"/>
        <v>28.14</v>
      </c>
    </row>
    <row r="400" spans="1:9" s="129" customFormat="1" ht="28.5">
      <c r="A400" s="130"/>
      <c r="B400" s="131" t="s">
        <v>386</v>
      </c>
      <c r="C400" s="132" t="s">
        <v>387</v>
      </c>
      <c r="D400" s="131" t="s">
        <v>45</v>
      </c>
      <c r="E400" s="133">
        <v>3.9964</v>
      </c>
      <c r="F400" s="136">
        <v>13.08</v>
      </c>
      <c r="G400" s="136"/>
      <c r="H400" s="136"/>
      <c r="I400" s="137">
        <f t="shared" si="13"/>
        <v>52.27</v>
      </c>
    </row>
    <row r="401" spans="1:9" s="129" customFormat="1" ht="14.25">
      <c r="A401" s="130"/>
      <c r="B401" s="131" t="s">
        <v>392</v>
      </c>
      <c r="C401" s="132" t="s">
        <v>393</v>
      </c>
      <c r="D401" s="131" t="s">
        <v>45</v>
      </c>
      <c r="E401" s="133">
        <v>3.9964</v>
      </c>
      <c r="F401" s="136">
        <v>18.05</v>
      </c>
      <c r="G401" s="136"/>
      <c r="H401" s="136"/>
      <c r="I401" s="137">
        <f t="shared" si="13"/>
        <v>72.13</v>
      </c>
    </row>
    <row r="402" spans="1:9" s="129" customFormat="1" ht="28.5">
      <c r="A402" s="130"/>
      <c r="B402" s="131" t="s">
        <v>426</v>
      </c>
      <c r="C402" s="132" t="s">
        <v>427</v>
      </c>
      <c r="D402" s="131" t="s">
        <v>45</v>
      </c>
      <c r="E402" s="133">
        <v>0.8240000000000001</v>
      </c>
      <c r="F402" s="136">
        <f>TRUNC(17.3,2)</f>
        <v>17.3</v>
      </c>
      <c r="G402" s="136"/>
      <c r="H402" s="136"/>
      <c r="I402" s="137">
        <f t="shared" si="13"/>
        <v>14.25</v>
      </c>
    </row>
    <row r="403" spans="1:9" s="129" customFormat="1" ht="14.25">
      <c r="A403" s="130"/>
      <c r="B403" s="131" t="s">
        <v>428</v>
      </c>
      <c r="C403" s="132" t="s">
        <v>429</v>
      </c>
      <c r="D403" s="131" t="s">
        <v>142</v>
      </c>
      <c r="E403" s="133">
        <v>1.26</v>
      </c>
      <c r="F403" s="136">
        <v>21.6731</v>
      </c>
      <c r="G403" s="136"/>
      <c r="H403" s="136"/>
      <c r="I403" s="137">
        <f t="shared" si="13"/>
        <v>27.3</v>
      </c>
    </row>
    <row r="404" spans="1:9" s="145" customFormat="1" ht="15">
      <c r="A404" s="138"/>
      <c r="B404" s="139"/>
      <c r="C404" s="140" t="s">
        <v>496</v>
      </c>
      <c r="D404" s="139" t="s">
        <v>142</v>
      </c>
      <c r="E404" s="141">
        <v>1.68</v>
      </c>
      <c r="F404" s="143">
        <f>F408</f>
        <v>58.39</v>
      </c>
      <c r="G404" s="143"/>
      <c r="H404" s="143"/>
      <c r="I404" s="144">
        <f t="shared" si="13"/>
        <v>98.09</v>
      </c>
    </row>
    <row r="405" spans="1:9" s="129" customFormat="1" ht="14.25">
      <c r="A405" s="130"/>
      <c r="B405" s="131" t="s">
        <v>430</v>
      </c>
      <c r="C405" s="132" t="s">
        <v>431</v>
      </c>
      <c r="D405" s="131" t="s">
        <v>43</v>
      </c>
      <c r="E405" s="133">
        <v>0.086</v>
      </c>
      <c r="F405" s="136">
        <v>205.6994</v>
      </c>
      <c r="G405" s="136"/>
      <c r="H405" s="136"/>
      <c r="I405" s="137">
        <f t="shared" si="13"/>
        <v>17.69</v>
      </c>
    </row>
    <row r="406" spans="1:12" s="129" customFormat="1" ht="14.25">
      <c r="A406" s="130"/>
      <c r="B406" s="131" t="s">
        <v>432</v>
      </c>
      <c r="C406" s="132" t="s">
        <v>433</v>
      </c>
      <c r="D406" s="131" t="s">
        <v>43</v>
      </c>
      <c r="E406" s="133">
        <v>0.126</v>
      </c>
      <c r="F406" s="136">
        <v>192.4416</v>
      </c>
      <c r="G406" s="136"/>
      <c r="H406" s="136"/>
      <c r="I406" s="137">
        <f t="shared" si="13"/>
        <v>24.24</v>
      </c>
      <c r="L406" s="146"/>
    </row>
    <row r="407" spans="1:9" s="129" customFormat="1" ht="14.25">
      <c r="A407" s="130"/>
      <c r="B407" s="131"/>
      <c r="C407" s="132"/>
      <c r="D407" s="131"/>
      <c r="E407" s="133" t="s">
        <v>150</v>
      </c>
      <c r="F407" s="136"/>
      <c r="G407" s="136"/>
      <c r="H407" s="136"/>
      <c r="I407" s="137">
        <f>TRUNC(SUM(I397:I406),2)</f>
        <v>343.3</v>
      </c>
    </row>
    <row r="408" spans="1:9" s="129" customFormat="1" ht="57">
      <c r="A408" s="130"/>
      <c r="B408" s="131" t="s">
        <v>467</v>
      </c>
      <c r="C408" s="132" t="s">
        <v>377</v>
      </c>
      <c r="D408" s="131" t="s">
        <v>142</v>
      </c>
      <c r="E408" s="133">
        <v>1</v>
      </c>
      <c r="F408" s="136">
        <f>TRUNC(I414,2)</f>
        <v>58.39</v>
      </c>
      <c r="G408" s="136"/>
      <c r="H408" s="136"/>
      <c r="I408" s="137">
        <f aca="true" t="shared" si="14" ref="I408:I413">TRUNC(E408*F408,2)</f>
        <v>58.39</v>
      </c>
    </row>
    <row r="409" spans="1:9" s="129" customFormat="1" ht="14.25">
      <c r="A409" s="130"/>
      <c r="B409" s="131" t="s">
        <v>97</v>
      </c>
      <c r="C409" s="132" t="s">
        <v>254</v>
      </c>
      <c r="D409" s="131" t="s">
        <v>148</v>
      </c>
      <c r="E409" s="133">
        <v>13</v>
      </c>
      <c r="F409" s="136">
        <v>1.4</v>
      </c>
      <c r="G409" s="136"/>
      <c r="H409" s="136"/>
      <c r="I409" s="137">
        <f t="shared" si="14"/>
        <v>18.2</v>
      </c>
    </row>
    <row r="410" spans="1:9" s="129" customFormat="1" ht="28.5">
      <c r="A410" s="130"/>
      <c r="B410" s="131" t="s">
        <v>386</v>
      </c>
      <c r="C410" s="132" t="s">
        <v>387</v>
      </c>
      <c r="D410" s="131" t="s">
        <v>45</v>
      </c>
      <c r="E410" s="133">
        <v>0.927</v>
      </c>
      <c r="F410" s="136">
        <v>13.08</v>
      </c>
      <c r="G410" s="136"/>
      <c r="H410" s="136"/>
      <c r="I410" s="137">
        <f t="shared" si="14"/>
        <v>12.12</v>
      </c>
    </row>
    <row r="411" spans="1:9" s="129" customFormat="1" ht="14.25">
      <c r="A411" s="130"/>
      <c r="B411" s="131" t="s">
        <v>392</v>
      </c>
      <c r="C411" s="132" t="s">
        <v>393</v>
      </c>
      <c r="D411" s="131" t="s">
        <v>45</v>
      </c>
      <c r="E411" s="133">
        <v>0.927</v>
      </c>
      <c r="F411" s="136">
        <v>18.05</v>
      </c>
      <c r="G411" s="136"/>
      <c r="H411" s="136"/>
      <c r="I411" s="137">
        <f t="shared" si="14"/>
        <v>16.73</v>
      </c>
    </row>
    <row r="412" spans="1:9" s="129" customFormat="1" ht="14.25">
      <c r="A412" s="130"/>
      <c r="B412" s="131" t="s">
        <v>468</v>
      </c>
      <c r="C412" s="132" t="s">
        <v>469</v>
      </c>
      <c r="D412" s="131" t="s">
        <v>43</v>
      </c>
      <c r="E412" s="133">
        <v>0.04</v>
      </c>
      <c r="F412" s="136">
        <v>220.2847</v>
      </c>
      <c r="G412" s="136"/>
      <c r="H412" s="136"/>
      <c r="I412" s="137">
        <f t="shared" si="14"/>
        <v>8.81</v>
      </c>
    </row>
    <row r="413" spans="1:9" s="129" customFormat="1" ht="14.25">
      <c r="A413" s="130"/>
      <c r="B413" s="131" t="s">
        <v>434</v>
      </c>
      <c r="C413" s="132" t="s">
        <v>435</v>
      </c>
      <c r="D413" s="131" t="s">
        <v>43</v>
      </c>
      <c r="E413" s="133">
        <v>0.01</v>
      </c>
      <c r="F413" s="136">
        <v>253.604</v>
      </c>
      <c r="G413" s="136"/>
      <c r="H413" s="136"/>
      <c r="I413" s="137">
        <f t="shared" si="14"/>
        <v>2.53</v>
      </c>
    </row>
    <row r="414" spans="1:9" s="129" customFormat="1" ht="14.25">
      <c r="A414" s="130"/>
      <c r="B414" s="131"/>
      <c r="C414" s="132"/>
      <c r="D414" s="131"/>
      <c r="E414" s="133" t="s">
        <v>150</v>
      </c>
      <c r="F414" s="136"/>
      <c r="G414" s="136"/>
      <c r="H414" s="136"/>
      <c r="I414" s="137">
        <f>TRUNC(SUM(I409:I413),2)</f>
        <v>58.39</v>
      </c>
    </row>
    <row r="415" spans="1:9" s="196" customFormat="1" ht="57">
      <c r="A415" s="294" t="s">
        <v>177</v>
      </c>
      <c r="B415" s="295" t="s">
        <v>253</v>
      </c>
      <c r="C415" s="296" t="s">
        <v>646</v>
      </c>
      <c r="D415" s="295" t="s">
        <v>148</v>
      </c>
      <c r="E415" s="297">
        <v>4</v>
      </c>
      <c r="F415" s="298">
        <f>F416+F428</f>
        <v>654.59</v>
      </c>
      <c r="G415" s="299">
        <f>TRUNC(F415*1.2882,2)</f>
        <v>843.24</v>
      </c>
      <c r="H415" s="299">
        <f>TRUNC(F415*E415,2)</f>
        <v>2618.36</v>
      </c>
      <c r="I415" s="300">
        <f>TRUNC(E415*G415,2)</f>
        <v>3372.96</v>
      </c>
    </row>
    <row r="416" spans="1:9" s="167" customFormat="1" ht="85.5">
      <c r="A416" s="205" t="s">
        <v>647</v>
      </c>
      <c r="B416" s="206" t="s">
        <v>424</v>
      </c>
      <c r="C416" s="223" t="s">
        <v>716</v>
      </c>
      <c r="D416" s="206" t="s">
        <v>148</v>
      </c>
      <c r="E416" s="243">
        <v>1</v>
      </c>
      <c r="F416" s="209">
        <f>TRUNC(596.209448,2)</f>
        <v>596.2</v>
      </c>
      <c r="G416" s="210">
        <f aca="true" t="shared" si="15" ref="G416:G426">TRUNC(E416*F416,2)</f>
        <v>596.2</v>
      </c>
      <c r="H416" s="210"/>
      <c r="I416" s="211"/>
    </row>
    <row r="417" spans="1:9" s="167" customFormat="1" ht="28.5">
      <c r="A417" s="212"/>
      <c r="B417" s="192" t="s">
        <v>144</v>
      </c>
      <c r="C417" s="198" t="s">
        <v>215</v>
      </c>
      <c r="D417" s="192" t="s">
        <v>214</v>
      </c>
      <c r="E417" s="199">
        <v>0.05</v>
      </c>
      <c r="F417" s="200">
        <f>TRUNC(8.55,2)</f>
        <v>8.55</v>
      </c>
      <c r="G417" s="165">
        <f t="shared" si="15"/>
        <v>0.42</v>
      </c>
      <c r="H417" s="165"/>
      <c r="I417" s="213"/>
    </row>
    <row r="418" spans="1:9" s="167" customFormat="1" ht="14.25">
      <c r="A418" s="212"/>
      <c r="B418" s="192" t="s">
        <v>185</v>
      </c>
      <c r="C418" s="198" t="s">
        <v>533</v>
      </c>
      <c r="D418" s="192" t="s">
        <v>141</v>
      </c>
      <c r="E418" s="199">
        <v>1.3</v>
      </c>
      <c r="F418" s="200">
        <f>TRUNC(6.75,2)</f>
        <v>6.75</v>
      </c>
      <c r="G418" s="165">
        <f t="shared" si="15"/>
        <v>8.77</v>
      </c>
      <c r="H418" s="165"/>
      <c r="I418" s="213"/>
    </row>
    <row r="419" spans="1:9" s="167" customFormat="1" ht="14.25">
      <c r="A419" s="212"/>
      <c r="B419" s="192" t="s">
        <v>102</v>
      </c>
      <c r="C419" s="198" t="s">
        <v>221</v>
      </c>
      <c r="D419" s="192" t="s">
        <v>214</v>
      </c>
      <c r="E419" s="199">
        <v>6.8</v>
      </c>
      <c r="F419" s="200">
        <f>TRUNC(4.1384,2)</f>
        <v>4.13</v>
      </c>
      <c r="G419" s="165">
        <f t="shared" si="15"/>
        <v>28.08</v>
      </c>
      <c r="H419" s="165"/>
      <c r="I419" s="213"/>
    </row>
    <row r="420" spans="1:9" s="167" customFormat="1" ht="28.5">
      <c r="A420" s="212"/>
      <c r="B420" s="192" t="s">
        <v>386</v>
      </c>
      <c r="C420" s="198" t="s">
        <v>387</v>
      </c>
      <c r="D420" s="192" t="s">
        <v>45</v>
      </c>
      <c r="E420" s="199">
        <v>3.9964</v>
      </c>
      <c r="F420" s="200">
        <f>TRUNC(13.08,2)</f>
        <v>13.08</v>
      </c>
      <c r="G420" s="165">
        <f t="shared" si="15"/>
        <v>52.27</v>
      </c>
      <c r="H420" s="165"/>
      <c r="I420" s="213"/>
    </row>
    <row r="421" spans="1:9" s="167" customFormat="1" ht="14.25">
      <c r="A421" s="212"/>
      <c r="B421" s="192" t="s">
        <v>392</v>
      </c>
      <c r="C421" s="198" t="s">
        <v>393</v>
      </c>
      <c r="D421" s="192" t="s">
        <v>45</v>
      </c>
      <c r="E421" s="199">
        <v>3.9964</v>
      </c>
      <c r="F421" s="200">
        <f>TRUNC(18.05,2)</f>
        <v>18.05</v>
      </c>
      <c r="G421" s="165">
        <f t="shared" si="15"/>
        <v>72.13</v>
      </c>
      <c r="H421" s="165"/>
      <c r="I421" s="213"/>
    </row>
    <row r="422" spans="1:9" s="167" customFormat="1" ht="28.5">
      <c r="A422" s="212"/>
      <c r="B422" s="192" t="s">
        <v>426</v>
      </c>
      <c r="C422" s="198" t="s">
        <v>427</v>
      </c>
      <c r="D422" s="192" t="s">
        <v>45</v>
      </c>
      <c r="E422" s="199">
        <v>0.8240000000000001</v>
      </c>
      <c r="F422" s="200">
        <f>TRUNC(18.05,2)</f>
        <v>18.05</v>
      </c>
      <c r="G422" s="165">
        <f t="shared" si="15"/>
        <v>14.87</v>
      </c>
      <c r="H422" s="165"/>
      <c r="I422" s="213"/>
    </row>
    <row r="423" spans="1:9" s="167" customFormat="1" ht="14.25">
      <c r="A423" s="212"/>
      <c r="B423" s="192" t="s">
        <v>428</v>
      </c>
      <c r="C423" s="198" t="s">
        <v>429</v>
      </c>
      <c r="D423" s="192" t="s">
        <v>142</v>
      </c>
      <c r="E423" s="199">
        <v>1.26</v>
      </c>
      <c r="F423" s="200">
        <f>TRUNC(21.6731,2)</f>
        <v>21.67</v>
      </c>
      <c r="G423" s="165">
        <f t="shared" si="15"/>
        <v>27.3</v>
      </c>
      <c r="H423" s="165"/>
      <c r="I423" s="213"/>
    </row>
    <row r="424" spans="1:9" s="167" customFormat="1" ht="14.25">
      <c r="A424" s="212"/>
      <c r="B424" s="192"/>
      <c r="C424" s="198" t="s">
        <v>496</v>
      </c>
      <c r="D424" s="192" t="s">
        <v>142</v>
      </c>
      <c r="E424" s="199">
        <v>1.68</v>
      </c>
      <c r="F424" s="200">
        <f>F428</f>
        <v>58.39</v>
      </c>
      <c r="G424" s="165">
        <f t="shared" si="15"/>
        <v>98.09</v>
      </c>
      <c r="H424" s="165"/>
      <c r="I424" s="213"/>
    </row>
    <row r="425" spans="1:9" s="167" customFormat="1" ht="14.25">
      <c r="A425" s="212"/>
      <c r="B425" s="192" t="s">
        <v>430</v>
      </c>
      <c r="C425" s="198" t="s">
        <v>431</v>
      </c>
      <c r="D425" s="192" t="s">
        <v>43</v>
      </c>
      <c r="E425" s="199">
        <v>0.086</v>
      </c>
      <c r="F425" s="200">
        <f>TRUNC(205.6994,2)</f>
        <v>205.69</v>
      </c>
      <c r="G425" s="165">
        <f t="shared" si="15"/>
        <v>17.68</v>
      </c>
      <c r="H425" s="165"/>
      <c r="I425" s="213"/>
    </row>
    <row r="426" spans="1:9" s="167" customFormat="1" ht="14.25">
      <c r="A426" s="212"/>
      <c r="B426" s="192" t="s">
        <v>432</v>
      </c>
      <c r="C426" s="198" t="s">
        <v>433</v>
      </c>
      <c r="D426" s="192" t="s">
        <v>43</v>
      </c>
      <c r="E426" s="199">
        <v>0.126</v>
      </c>
      <c r="F426" s="200">
        <f>TRUNC(192.4416,2)</f>
        <v>192.44</v>
      </c>
      <c r="G426" s="165">
        <f t="shared" si="15"/>
        <v>24.24</v>
      </c>
      <c r="H426" s="165"/>
      <c r="I426" s="213"/>
    </row>
    <row r="427" spans="1:9" s="167" customFormat="1" ht="14.25">
      <c r="A427" s="212"/>
      <c r="B427" s="192"/>
      <c r="C427" s="198"/>
      <c r="D427" s="192"/>
      <c r="E427" s="199" t="s">
        <v>150</v>
      </c>
      <c r="F427" s="200"/>
      <c r="G427" s="165">
        <f>TRUNC(SUM(G417:G426),2)</f>
        <v>343.85</v>
      </c>
      <c r="H427" s="165"/>
      <c r="I427" s="213"/>
    </row>
    <row r="428" spans="1:9" s="129" customFormat="1" ht="57">
      <c r="A428" s="301"/>
      <c r="B428" s="131" t="s">
        <v>467</v>
      </c>
      <c r="C428" s="132" t="s">
        <v>377</v>
      </c>
      <c r="D428" s="131" t="s">
        <v>142</v>
      </c>
      <c r="E428" s="133">
        <v>1</v>
      </c>
      <c r="F428" s="136">
        <f>TRUNC(I434,2)</f>
        <v>58.39</v>
      </c>
      <c r="G428" s="136"/>
      <c r="H428" s="136"/>
      <c r="I428" s="302">
        <f aca="true" t="shared" si="16" ref="I428:I433">TRUNC(E428*F428,2)</f>
        <v>58.39</v>
      </c>
    </row>
    <row r="429" spans="1:9" s="129" customFormat="1" ht="14.25">
      <c r="A429" s="301"/>
      <c r="B429" s="131" t="s">
        <v>97</v>
      </c>
      <c r="C429" s="132" t="s">
        <v>254</v>
      </c>
      <c r="D429" s="131" t="s">
        <v>148</v>
      </c>
      <c r="E429" s="133">
        <v>13</v>
      </c>
      <c r="F429" s="136">
        <v>1.4</v>
      </c>
      <c r="G429" s="136"/>
      <c r="H429" s="136"/>
      <c r="I429" s="302">
        <f t="shared" si="16"/>
        <v>18.2</v>
      </c>
    </row>
    <row r="430" spans="1:9" s="129" customFormat="1" ht="28.5">
      <c r="A430" s="301"/>
      <c r="B430" s="131" t="s">
        <v>386</v>
      </c>
      <c r="C430" s="132" t="s">
        <v>387</v>
      </c>
      <c r="D430" s="131" t="s">
        <v>45</v>
      </c>
      <c r="E430" s="133">
        <v>0.927</v>
      </c>
      <c r="F430" s="136">
        <v>13.08</v>
      </c>
      <c r="G430" s="136"/>
      <c r="H430" s="136"/>
      <c r="I430" s="302">
        <f t="shared" si="16"/>
        <v>12.12</v>
      </c>
    </row>
    <row r="431" spans="1:9" s="129" customFormat="1" ht="14.25">
      <c r="A431" s="301"/>
      <c r="B431" s="131" t="s">
        <v>392</v>
      </c>
      <c r="C431" s="132" t="s">
        <v>393</v>
      </c>
      <c r="D431" s="131" t="s">
        <v>45</v>
      </c>
      <c r="E431" s="133">
        <v>0.927</v>
      </c>
      <c r="F431" s="136">
        <v>18.05</v>
      </c>
      <c r="G431" s="136"/>
      <c r="H431" s="136"/>
      <c r="I431" s="302">
        <f t="shared" si="16"/>
        <v>16.73</v>
      </c>
    </row>
    <row r="432" spans="1:9" s="129" customFormat="1" ht="14.25">
      <c r="A432" s="301"/>
      <c r="B432" s="131" t="s">
        <v>468</v>
      </c>
      <c r="C432" s="132" t="s">
        <v>469</v>
      </c>
      <c r="D432" s="131" t="s">
        <v>43</v>
      </c>
      <c r="E432" s="133">
        <v>0.04</v>
      </c>
      <c r="F432" s="136">
        <v>220.2847</v>
      </c>
      <c r="G432" s="136"/>
      <c r="H432" s="136"/>
      <c r="I432" s="302">
        <f t="shared" si="16"/>
        <v>8.81</v>
      </c>
    </row>
    <row r="433" spans="1:9" s="129" customFormat="1" ht="14.25">
      <c r="A433" s="301"/>
      <c r="B433" s="131" t="s">
        <v>434</v>
      </c>
      <c r="C433" s="132" t="s">
        <v>435</v>
      </c>
      <c r="D433" s="131" t="s">
        <v>43</v>
      </c>
      <c r="E433" s="133">
        <v>0.01</v>
      </c>
      <c r="F433" s="136">
        <v>253.604</v>
      </c>
      <c r="G433" s="136"/>
      <c r="H433" s="136"/>
      <c r="I433" s="302">
        <f t="shared" si="16"/>
        <v>2.53</v>
      </c>
    </row>
    <row r="434" spans="1:9" s="129" customFormat="1" ht="14.25">
      <c r="A434" s="303"/>
      <c r="B434" s="304"/>
      <c r="C434" s="305"/>
      <c r="D434" s="304"/>
      <c r="E434" s="306" t="s">
        <v>150</v>
      </c>
      <c r="F434" s="307"/>
      <c r="G434" s="307"/>
      <c r="H434" s="307"/>
      <c r="I434" s="308">
        <f>TRUNC(SUM(I429:I433),2)</f>
        <v>58.39</v>
      </c>
    </row>
    <row r="435" spans="1:9" s="195" customFormat="1" ht="28.5">
      <c r="A435" s="253" t="s">
        <v>178</v>
      </c>
      <c r="B435" s="254" t="s">
        <v>440</v>
      </c>
      <c r="C435" s="255" t="s">
        <v>356</v>
      </c>
      <c r="D435" s="276" t="s">
        <v>148</v>
      </c>
      <c r="E435" s="277">
        <v>5</v>
      </c>
      <c r="F435" s="258">
        <f>TRUNC(I438,2)</f>
        <v>27.33</v>
      </c>
      <c r="G435" s="257">
        <f>TRUNC(F435*1.2882,2)</f>
        <v>35.2</v>
      </c>
      <c r="H435" s="257">
        <f>TRUNC(F435*E435,2)</f>
        <v>136.65</v>
      </c>
      <c r="I435" s="258">
        <f>TRUNC(E435*G435,2)</f>
        <v>176</v>
      </c>
    </row>
    <row r="436" spans="1:9" s="83" customFormat="1" ht="14.25">
      <c r="A436" s="35"/>
      <c r="B436" s="85" t="s">
        <v>213</v>
      </c>
      <c r="C436" s="44" t="s">
        <v>255</v>
      </c>
      <c r="D436" s="106" t="s">
        <v>148</v>
      </c>
      <c r="E436" s="37">
        <v>1</v>
      </c>
      <c r="F436" s="27">
        <v>17.33</v>
      </c>
      <c r="G436" s="27"/>
      <c r="H436" s="27"/>
      <c r="I436" s="27">
        <f>TRUNC(E436*F436,2)</f>
        <v>17.33</v>
      </c>
    </row>
    <row r="437" spans="1:9" s="83" customFormat="1" ht="14.25">
      <c r="A437" s="35"/>
      <c r="B437" s="85" t="s">
        <v>396</v>
      </c>
      <c r="C437" s="44" t="s">
        <v>397</v>
      </c>
      <c r="D437" s="106" t="s">
        <v>45</v>
      </c>
      <c r="E437" s="37">
        <v>0.515</v>
      </c>
      <c r="F437" s="27">
        <v>19.43</v>
      </c>
      <c r="G437" s="27"/>
      <c r="H437" s="27"/>
      <c r="I437" s="27">
        <f>TRUNC(E437*F437,2)</f>
        <v>10</v>
      </c>
    </row>
    <row r="438" spans="1:9" s="83" customFormat="1" ht="14.25">
      <c r="A438" s="35"/>
      <c r="B438" s="85"/>
      <c r="C438" s="44"/>
      <c r="D438" s="106"/>
      <c r="E438" s="37" t="s">
        <v>150</v>
      </c>
      <c r="F438" s="27"/>
      <c r="G438" s="27"/>
      <c r="H438" s="27"/>
      <c r="I438" s="27">
        <f>TRUNC(SUM(I436:I437),2)</f>
        <v>27.33</v>
      </c>
    </row>
    <row r="439" spans="1:9" s="195" customFormat="1" ht="28.5">
      <c r="A439" s="253" t="s">
        <v>179</v>
      </c>
      <c r="B439" s="254" t="s">
        <v>441</v>
      </c>
      <c r="C439" s="255" t="s">
        <v>357</v>
      </c>
      <c r="D439" s="254" t="s">
        <v>148</v>
      </c>
      <c r="E439" s="277">
        <v>10</v>
      </c>
      <c r="F439" s="258">
        <f>TRUNC(I442,2)</f>
        <v>28.47</v>
      </c>
      <c r="G439" s="257">
        <f>TRUNC(F439*1.2882,2)</f>
        <v>36.67</v>
      </c>
      <c r="H439" s="257">
        <f>TRUNC(F439*E439,2)</f>
        <v>284.7</v>
      </c>
      <c r="I439" s="258">
        <f>TRUNC(E439*G439,2)</f>
        <v>366.7</v>
      </c>
    </row>
    <row r="440" spans="1:9" s="83" customFormat="1" ht="14.25">
      <c r="A440" s="35"/>
      <c r="B440" s="85" t="s">
        <v>212</v>
      </c>
      <c r="C440" s="44" t="s">
        <v>256</v>
      </c>
      <c r="D440" s="85" t="s">
        <v>148</v>
      </c>
      <c r="E440" s="37">
        <v>1</v>
      </c>
      <c r="F440" s="27">
        <v>18.47</v>
      </c>
      <c r="G440" s="27"/>
      <c r="H440" s="27"/>
      <c r="I440" s="27">
        <f>TRUNC(E440*F440,2)</f>
        <v>18.47</v>
      </c>
    </row>
    <row r="441" spans="1:9" s="83" customFormat="1" ht="14.25">
      <c r="A441" s="35"/>
      <c r="B441" s="85" t="s">
        <v>396</v>
      </c>
      <c r="C441" s="44" t="s">
        <v>397</v>
      </c>
      <c r="D441" s="85" t="s">
        <v>45</v>
      </c>
      <c r="E441" s="37">
        <v>0.515</v>
      </c>
      <c r="F441" s="27">
        <v>19.43</v>
      </c>
      <c r="G441" s="27"/>
      <c r="H441" s="27"/>
      <c r="I441" s="27">
        <f>TRUNC(E441*F441,2)</f>
        <v>10</v>
      </c>
    </row>
    <row r="442" spans="1:9" s="83" customFormat="1" ht="14.25">
      <c r="A442" s="35"/>
      <c r="B442" s="85"/>
      <c r="C442" s="44"/>
      <c r="D442" s="85"/>
      <c r="E442" s="37" t="s">
        <v>150</v>
      </c>
      <c r="F442" s="27"/>
      <c r="G442" s="27"/>
      <c r="H442" s="27"/>
      <c r="I442" s="27">
        <f>TRUNC(SUM(I440:I441),2)</f>
        <v>28.47</v>
      </c>
    </row>
    <row r="443" spans="1:9" s="167" customFormat="1" ht="58.5">
      <c r="A443" s="253" t="s">
        <v>180</v>
      </c>
      <c r="B443" s="254" t="s">
        <v>677</v>
      </c>
      <c r="C443" s="255" t="s">
        <v>708</v>
      </c>
      <c r="D443" s="276" t="s">
        <v>142</v>
      </c>
      <c r="E443" s="277">
        <v>5.21</v>
      </c>
      <c r="F443" s="268">
        <f>F444</f>
        <v>330.32</v>
      </c>
      <c r="G443" s="257">
        <f>TRUNC(F443*1.2882,2)</f>
        <v>425.51</v>
      </c>
      <c r="H443" s="257">
        <f>TRUNC(F443*E443,2)</f>
        <v>1720.96</v>
      </c>
      <c r="I443" s="258">
        <f>TRUNC(E443*G443,2)</f>
        <v>2216.9</v>
      </c>
    </row>
    <row r="444" spans="1:9" s="77" customFormat="1" ht="57">
      <c r="A444" s="35"/>
      <c r="B444" s="85" t="s">
        <v>677</v>
      </c>
      <c r="C444" s="44" t="s">
        <v>678</v>
      </c>
      <c r="D444" s="106" t="s">
        <v>142</v>
      </c>
      <c r="E444" s="37">
        <v>1</v>
      </c>
      <c r="F444" s="42">
        <f>G450</f>
        <v>330.32</v>
      </c>
      <c r="G444" s="42">
        <f aca="true" t="shared" si="17" ref="G444:G449">TRUNC(E444*F444,2)</f>
        <v>330.32</v>
      </c>
      <c r="H444" s="42"/>
      <c r="I444" s="27"/>
    </row>
    <row r="445" spans="1:9" s="77" customFormat="1" ht="28.5">
      <c r="A445" s="35"/>
      <c r="B445" s="85" t="s">
        <v>679</v>
      </c>
      <c r="C445" s="44" t="s">
        <v>680</v>
      </c>
      <c r="D445" s="106" t="s">
        <v>142</v>
      </c>
      <c r="E445" s="37">
        <v>1</v>
      </c>
      <c r="F445" s="42">
        <f>TRUNC(223.46,2)</f>
        <v>223.46</v>
      </c>
      <c r="G445" s="42">
        <f t="shared" si="17"/>
        <v>223.46</v>
      </c>
      <c r="H445" s="42"/>
      <c r="I445" s="27"/>
    </row>
    <row r="446" spans="1:9" s="77" customFormat="1" ht="28.5">
      <c r="A446" s="35"/>
      <c r="B446" s="85" t="s">
        <v>386</v>
      </c>
      <c r="C446" s="44" t="s">
        <v>387</v>
      </c>
      <c r="D446" s="106" t="s">
        <v>45</v>
      </c>
      <c r="E446" s="37">
        <v>0.8549</v>
      </c>
      <c r="F446" s="42">
        <f>TRUNC(13.08,2)</f>
        <v>13.08</v>
      </c>
      <c r="G446" s="42">
        <f t="shared" si="17"/>
        <v>11.18</v>
      </c>
      <c r="H446" s="42"/>
      <c r="I446" s="27"/>
    </row>
    <row r="447" spans="1:9" s="77" customFormat="1" ht="14.25">
      <c r="A447" s="35"/>
      <c r="B447" s="85" t="s">
        <v>392</v>
      </c>
      <c r="C447" s="44" t="s">
        <v>393</v>
      </c>
      <c r="D447" s="106" t="s">
        <v>45</v>
      </c>
      <c r="E447" s="37">
        <v>0.8549</v>
      </c>
      <c r="F447" s="42">
        <f>TRUNC(18.05,2)</f>
        <v>18.05</v>
      </c>
      <c r="G447" s="42">
        <f t="shared" si="17"/>
        <v>15.43</v>
      </c>
      <c r="H447" s="42"/>
      <c r="I447" s="27"/>
    </row>
    <row r="448" spans="1:9" s="77" customFormat="1" ht="14.25">
      <c r="A448" s="35"/>
      <c r="B448" s="85" t="s">
        <v>436</v>
      </c>
      <c r="C448" s="44" t="s">
        <v>437</v>
      </c>
      <c r="D448" s="106" t="s">
        <v>142</v>
      </c>
      <c r="E448" s="37">
        <v>1</v>
      </c>
      <c r="F448" s="42">
        <f>TRUNC(44.6325,2)</f>
        <v>44.63</v>
      </c>
      <c r="G448" s="42">
        <f t="shared" si="17"/>
        <v>44.63</v>
      </c>
      <c r="H448" s="42"/>
      <c r="I448" s="27"/>
    </row>
    <row r="449" spans="1:9" s="77" customFormat="1" ht="14.25">
      <c r="A449" s="35"/>
      <c r="B449" s="85" t="s">
        <v>438</v>
      </c>
      <c r="C449" s="44" t="s">
        <v>439</v>
      </c>
      <c r="D449" s="106" t="s">
        <v>43</v>
      </c>
      <c r="E449" s="37">
        <v>0.025</v>
      </c>
      <c r="F449" s="42">
        <f>TRUNC(1424.8968,2)</f>
        <v>1424.89</v>
      </c>
      <c r="G449" s="42">
        <f t="shared" si="17"/>
        <v>35.62</v>
      </c>
      <c r="H449" s="42"/>
      <c r="I449" s="27"/>
    </row>
    <row r="450" spans="1:9" s="77" customFormat="1" ht="14.25">
      <c r="A450" s="35"/>
      <c r="B450" s="85"/>
      <c r="C450" s="44"/>
      <c r="D450" s="106"/>
      <c r="E450" s="37" t="s">
        <v>150</v>
      </c>
      <c r="F450" s="42"/>
      <c r="G450" s="42">
        <f>TRUNC(SUM(G445:G449),2)</f>
        <v>330.32</v>
      </c>
      <c r="H450" s="42"/>
      <c r="I450" s="27"/>
    </row>
    <row r="451" spans="1:9" s="167" customFormat="1" ht="58.5">
      <c r="A451" s="253" t="s">
        <v>181</v>
      </c>
      <c r="B451" s="254" t="s">
        <v>681</v>
      </c>
      <c r="C451" s="255" t="s">
        <v>709</v>
      </c>
      <c r="D451" s="276" t="s">
        <v>148</v>
      </c>
      <c r="E451" s="277">
        <v>4</v>
      </c>
      <c r="F451" s="268">
        <f>F452</f>
        <v>527.67</v>
      </c>
      <c r="G451" s="257">
        <f>TRUNC(F451*1.2882,2)</f>
        <v>679.74</v>
      </c>
      <c r="H451" s="257">
        <f>TRUNC(F451*E451,2)</f>
        <v>2110.68</v>
      </c>
      <c r="I451" s="258">
        <f>TRUNC(E451*G451,2)</f>
        <v>2718.96</v>
      </c>
    </row>
    <row r="452" spans="1:9" s="77" customFormat="1" ht="57">
      <c r="A452" s="35"/>
      <c r="B452" s="85" t="s">
        <v>681</v>
      </c>
      <c r="C452" s="44" t="s">
        <v>682</v>
      </c>
      <c r="D452" s="106" t="s">
        <v>148</v>
      </c>
      <c r="E452" s="37">
        <v>1</v>
      </c>
      <c r="F452" s="42">
        <f>TRUNC(527.67473,2)</f>
        <v>527.67</v>
      </c>
      <c r="G452" s="42">
        <f aca="true" t="shared" si="18" ref="G452:G457">TRUNC(E452*F452,2)</f>
        <v>527.67</v>
      </c>
      <c r="H452" s="42"/>
      <c r="I452" s="27"/>
    </row>
    <row r="453" spans="1:9" s="77" customFormat="1" ht="28.5">
      <c r="A453" s="35"/>
      <c r="B453" s="85" t="s">
        <v>331</v>
      </c>
      <c r="C453" s="44" t="s">
        <v>587</v>
      </c>
      <c r="D453" s="106" t="s">
        <v>148</v>
      </c>
      <c r="E453" s="37">
        <v>1</v>
      </c>
      <c r="F453" s="42">
        <f>TRUNC(29.77,2)</f>
        <v>29.77</v>
      </c>
      <c r="G453" s="42">
        <f t="shared" si="18"/>
        <v>29.77</v>
      </c>
      <c r="H453" s="42"/>
      <c r="I453" s="27"/>
    </row>
    <row r="454" spans="1:9" s="77" customFormat="1" ht="14.25">
      <c r="A454" s="35"/>
      <c r="B454" s="85" t="s">
        <v>683</v>
      </c>
      <c r="C454" s="44" t="s">
        <v>684</v>
      </c>
      <c r="D454" s="106" t="s">
        <v>148</v>
      </c>
      <c r="E454" s="37">
        <v>1</v>
      </c>
      <c r="F454" s="42">
        <f>TRUNC(405.11,2)</f>
        <v>405.11</v>
      </c>
      <c r="G454" s="42">
        <f t="shared" si="18"/>
        <v>405.11</v>
      </c>
      <c r="H454" s="42"/>
      <c r="I454" s="27"/>
    </row>
    <row r="455" spans="1:9" s="77" customFormat="1" ht="14.25">
      <c r="A455" s="35"/>
      <c r="B455" s="85" t="s">
        <v>330</v>
      </c>
      <c r="C455" s="44" t="s">
        <v>588</v>
      </c>
      <c r="D455" s="106" t="s">
        <v>148</v>
      </c>
      <c r="E455" s="37">
        <v>1</v>
      </c>
      <c r="F455" s="42">
        <f>TRUNC(70.35,2)</f>
        <v>70.35</v>
      </c>
      <c r="G455" s="42">
        <f t="shared" si="18"/>
        <v>70.35</v>
      </c>
      <c r="H455" s="42"/>
      <c r="I455" s="27"/>
    </row>
    <row r="456" spans="1:9" s="77" customFormat="1" ht="28.5">
      <c r="A456" s="35"/>
      <c r="B456" s="85" t="s">
        <v>386</v>
      </c>
      <c r="C456" s="44" t="s">
        <v>387</v>
      </c>
      <c r="D456" s="106" t="s">
        <v>45</v>
      </c>
      <c r="E456" s="37">
        <v>0.721</v>
      </c>
      <c r="F456" s="42">
        <f>TRUNC(13.08,2)</f>
        <v>13.08</v>
      </c>
      <c r="G456" s="42">
        <f t="shared" si="18"/>
        <v>9.43</v>
      </c>
      <c r="H456" s="42"/>
      <c r="I456" s="27"/>
    </row>
    <row r="457" spans="1:9" s="77" customFormat="1" ht="14.25">
      <c r="A457" s="35"/>
      <c r="B457" s="85" t="s">
        <v>392</v>
      </c>
      <c r="C457" s="44" t="s">
        <v>393</v>
      </c>
      <c r="D457" s="106" t="s">
        <v>45</v>
      </c>
      <c r="E457" s="37">
        <v>0.721</v>
      </c>
      <c r="F457" s="42">
        <f>TRUNC(18.05,2)</f>
        <v>18.05</v>
      </c>
      <c r="G457" s="42">
        <f t="shared" si="18"/>
        <v>13.01</v>
      </c>
      <c r="H457" s="42"/>
      <c r="I457" s="27"/>
    </row>
    <row r="458" spans="1:9" s="77" customFormat="1" ht="14.25">
      <c r="A458" s="35"/>
      <c r="B458" s="85"/>
      <c r="C458" s="44"/>
      <c r="D458" s="106"/>
      <c r="E458" s="37" t="s">
        <v>150</v>
      </c>
      <c r="F458" s="42"/>
      <c r="G458" s="42">
        <f>TRUNC(SUM(G453:G457),2)</f>
        <v>527.67</v>
      </c>
      <c r="H458" s="42"/>
      <c r="I458" s="27"/>
    </row>
    <row r="459" spans="1:9" s="167" customFormat="1" ht="28.5">
      <c r="A459" s="253" t="s">
        <v>182</v>
      </c>
      <c r="B459" s="254" t="s">
        <v>691</v>
      </c>
      <c r="C459" s="255" t="s">
        <v>692</v>
      </c>
      <c r="D459" s="276" t="s">
        <v>148</v>
      </c>
      <c r="E459" s="277">
        <v>4</v>
      </c>
      <c r="F459" s="268">
        <f>F460</f>
        <v>84.48</v>
      </c>
      <c r="G459" s="257">
        <f>TRUNC(F459*1.2882,2)</f>
        <v>108.82</v>
      </c>
      <c r="H459" s="257">
        <f>TRUNC(F459*E459,2)</f>
        <v>337.92</v>
      </c>
      <c r="I459" s="258">
        <f>TRUNC(E459*G459,2)</f>
        <v>435.28</v>
      </c>
    </row>
    <row r="460" spans="1:9" s="77" customFormat="1" ht="28.5">
      <c r="A460" s="35"/>
      <c r="B460" s="85" t="s">
        <v>691</v>
      </c>
      <c r="C460" s="44" t="s">
        <v>692</v>
      </c>
      <c r="D460" s="106" t="s">
        <v>148</v>
      </c>
      <c r="E460" s="37">
        <v>1</v>
      </c>
      <c r="F460" s="42">
        <f>TRUNC(84.48,2)</f>
        <v>84.48</v>
      </c>
      <c r="G460" s="42">
        <f>TRUNC(E460*F460,2)</f>
        <v>84.48</v>
      </c>
      <c r="H460" s="42"/>
      <c r="I460" s="27"/>
    </row>
    <row r="461" spans="1:9" s="77" customFormat="1" ht="14.25">
      <c r="A461" s="35"/>
      <c r="B461" s="85" t="s">
        <v>693</v>
      </c>
      <c r="C461" s="44" t="s">
        <v>694</v>
      </c>
      <c r="D461" s="106" t="s">
        <v>148</v>
      </c>
      <c r="E461" s="37">
        <v>1</v>
      </c>
      <c r="F461" s="42">
        <f>TRUNC(84.48,2)</f>
        <v>84.48</v>
      </c>
      <c r="G461" s="42">
        <f>TRUNC(E461*F461,2)</f>
        <v>84.48</v>
      </c>
      <c r="H461" s="42"/>
      <c r="I461" s="27"/>
    </row>
    <row r="462" spans="1:9" s="77" customFormat="1" ht="14.25">
      <c r="A462" s="35"/>
      <c r="B462" s="85"/>
      <c r="C462" s="44"/>
      <c r="D462" s="106"/>
      <c r="E462" s="37" t="s">
        <v>150</v>
      </c>
      <c r="F462" s="42"/>
      <c r="G462" s="42">
        <f>TRUNC(SUM(G461:G461),2)</f>
        <v>84.48</v>
      </c>
      <c r="H462" s="42"/>
      <c r="I462" s="27"/>
    </row>
    <row r="463" spans="1:9" s="167" customFormat="1" ht="57">
      <c r="A463" s="253" t="s">
        <v>183</v>
      </c>
      <c r="B463" s="254" t="s">
        <v>461</v>
      </c>
      <c r="C463" s="255" t="s">
        <v>685</v>
      </c>
      <c r="D463" s="276" t="s">
        <v>148</v>
      </c>
      <c r="E463" s="277">
        <v>6</v>
      </c>
      <c r="F463" s="268">
        <f>F464</f>
        <v>124.39</v>
      </c>
      <c r="G463" s="257">
        <f>TRUNC(F463*1.2882,2)</f>
        <v>160.23</v>
      </c>
      <c r="H463" s="257">
        <f>TRUNC(F463*E463,2)</f>
        <v>746.34</v>
      </c>
      <c r="I463" s="258">
        <f>TRUNC(E463*G463,2)</f>
        <v>961.38</v>
      </c>
    </row>
    <row r="464" spans="1:9" s="77" customFormat="1" ht="57">
      <c r="A464" s="35"/>
      <c r="B464" s="85" t="s">
        <v>461</v>
      </c>
      <c r="C464" s="44" t="s">
        <v>685</v>
      </c>
      <c r="D464" s="106" t="s">
        <v>148</v>
      </c>
      <c r="E464" s="37">
        <v>1</v>
      </c>
      <c r="F464" s="42">
        <f>TRUNC(124.3939,2)</f>
        <v>124.39</v>
      </c>
      <c r="G464" s="42">
        <f>TRUNC(E464*F464,2)</f>
        <v>124.39</v>
      </c>
      <c r="H464" s="42"/>
      <c r="I464" s="27"/>
    </row>
    <row r="465" spans="1:9" s="77" customFormat="1" ht="14.25">
      <c r="A465" s="35"/>
      <c r="B465" s="85" t="s">
        <v>292</v>
      </c>
      <c r="C465" s="44" t="s">
        <v>686</v>
      </c>
      <c r="D465" s="106" t="s">
        <v>148</v>
      </c>
      <c r="E465" s="37">
        <v>1</v>
      </c>
      <c r="F465" s="42">
        <f>TRUNC(92.33,2)</f>
        <v>92.33</v>
      </c>
      <c r="G465" s="42">
        <f>TRUNC(E465*F465,2)</f>
        <v>92.33</v>
      </c>
      <c r="H465" s="42"/>
      <c r="I465" s="27"/>
    </row>
    <row r="466" spans="1:9" s="77" customFormat="1" ht="28.5">
      <c r="A466" s="35"/>
      <c r="B466" s="85" t="s">
        <v>386</v>
      </c>
      <c r="C466" s="44" t="s">
        <v>387</v>
      </c>
      <c r="D466" s="106" t="s">
        <v>45</v>
      </c>
      <c r="E466" s="37">
        <v>1.03</v>
      </c>
      <c r="F466" s="42">
        <f>TRUNC(13.08,2)</f>
        <v>13.08</v>
      </c>
      <c r="G466" s="42">
        <f>TRUNC(E466*F466,2)</f>
        <v>13.47</v>
      </c>
      <c r="H466" s="42"/>
      <c r="I466" s="27"/>
    </row>
    <row r="467" spans="1:9" s="77" customFormat="1" ht="14.25">
      <c r="A467" s="35"/>
      <c r="B467" s="85" t="s">
        <v>392</v>
      </c>
      <c r="C467" s="44" t="s">
        <v>393</v>
      </c>
      <c r="D467" s="106" t="s">
        <v>45</v>
      </c>
      <c r="E467" s="37">
        <v>1.03</v>
      </c>
      <c r="F467" s="42">
        <f>TRUNC(18.05,2)</f>
        <v>18.05</v>
      </c>
      <c r="G467" s="42">
        <f>TRUNC(E467*F467,2)</f>
        <v>18.59</v>
      </c>
      <c r="H467" s="42"/>
      <c r="I467" s="27"/>
    </row>
    <row r="468" spans="1:9" s="77" customFormat="1" ht="14.25">
      <c r="A468" s="35"/>
      <c r="B468" s="85"/>
      <c r="C468" s="44"/>
      <c r="D468" s="106"/>
      <c r="E468" s="37" t="s">
        <v>150</v>
      </c>
      <c r="F468" s="42"/>
      <c r="G468" s="42">
        <f>TRUNC(SUM(G465:G467),2)</f>
        <v>124.39</v>
      </c>
      <c r="H468" s="42"/>
      <c r="I468" s="27"/>
    </row>
    <row r="469" spans="1:9" s="167" customFormat="1" ht="71.25">
      <c r="A469" s="253" t="s">
        <v>184</v>
      </c>
      <c r="B469" s="254" t="s">
        <v>687</v>
      </c>
      <c r="C469" s="255" t="s">
        <v>688</v>
      </c>
      <c r="D469" s="276" t="s">
        <v>148</v>
      </c>
      <c r="E469" s="277">
        <v>2</v>
      </c>
      <c r="F469" s="268">
        <f>F470</f>
        <v>285.8</v>
      </c>
      <c r="G469" s="257">
        <f>TRUNC(F469*1.2882,2)</f>
        <v>368.16</v>
      </c>
      <c r="H469" s="257">
        <f>TRUNC(F469*E469,2)</f>
        <v>571.6</v>
      </c>
      <c r="I469" s="258">
        <f>TRUNC(E469*G469,2)</f>
        <v>736.32</v>
      </c>
    </row>
    <row r="470" spans="1:9" s="77" customFormat="1" ht="71.25">
      <c r="A470" s="35"/>
      <c r="B470" s="85" t="s">
        <v>687</v>
      </c>
      <c r="C470" s="44" t="s">
        <v>688</v>
      </c>
      <c r="D470" s="106" t="s">
        <v>148</v>
      </c>
      <c r="E470" s="37">
        <v>1</v>
      </c>
      <c r="F470" s="42">
        <f>TRUNC(285.8039,2)</f>
        <v>285.8</v>
      </c>
      <c r="G470" s="42">
        <f>TRUNC(E470*F470,2)</f>
        <v>285.8</v>
      </c>
      <c r="H470" s="42"/>
      <c r="I470" s="27"/>
    </row>
    <row r="471" spans="1:9" s="77" customFormat="1" ht="28.5">
      <c r="A471" s="35"/>
      <c r="B471" s="85" t="s">
        <v>689</v>
      </c>
      <c r="C471" s="44" t="s">
        <v>690</v>
      </c>
      <c r="D471" s="106" t="s">
        <v>148</v>
      </c>
      <c r="E471" s="37">
        <v>1</v>
      </c>
      <c r="F471" s="42">
        <f>TRUNC(253.74,2)</f>
        <v>253.74</v>
      </c>
      <c r="G471" s="42">
        <f>TRUNC(E471*F471,2)</f>
        <v>253.74</v>
      </c>
      <c r="H471" s="42"/>
      <c r="I471" s="27"/>
    </row>
    <row r="472" spans="1:9" s="77" customFormat="1" ht="28.5">
      <c r="A472" s="35"/>
      <c r="B472" s="85" t="s">
        <v>386</v>
      </c>
      <c r="C472" s="44" t="s">
        <v>387</v>
      </c>
      <c r="D472" s="106" t="s">
        <v>45</v>
      </c>
      <c r="E472" s="37">
        <v>1.03</v>
      </c>
      <c r="F472" s="42">
        <f>TRUNC(13.08,2)</f>
        <v>13.08</v>
      </c>
      <c r="G472" s="42">
        <f>TRUNC(E472*F472,2)</f>
        <v>13.47</v>
      </c>
      <c r="H472" s="42"/>
      <c r="I472" s="27"/>
    </row>
    <row r="473" spans="1:9" s="77" customFormat="1" ht="14.25">
      <c r="A473" s="35"/>
      <c r="B473" s="85" t="s">
        <v>392</v>
      </c>
      <c r="C473" s="44" t="s">
        <v>393</v>
      </c>
      <c r="D473" s="106" t="s">
        <v>45</v>
      </c>
      <c r="E473" s="37">
        <v>1.03</v>
      </c>
      <c r="F473" s="42">
        <f>TRUNC(18.05,2)</f>
        <v>18.05</v>
      </c>
      <c r="G473" s="42">
        <f>TRUNC(E473*F473,2)</f>
        <v>18.59</v>
      </c>
      <c r="H473" s="42"/>
      <c r="I473" s="27"/>
    </row>
    <row r="474" spans="1:9" s="77" customFormat="1" ht="14.25">
      <c r="A474" s="35"/>
      <c r="B474" s="85"/>
      <c r="C474" s="44"/>
      <c r="D474" s="106"/>
      <c r="E474" s="37" t="s">
        <v>150</v>
      </c>
      <c r="F474" s="42"/>
      <c r="G474" s="42">
        <f>TRUNC(SUM(G471:G473),2)</f>
        <v>285.8</v>
      </c>
      <c r="H474" s="42"/>
      <c r="I474" s="27"/>
    </row>
    <row r="475" spans="1:9" s="167" customFormat="1" ht="42.75">
      <c r="A475" s="253" t="s">
        <v>768</v>
      </c>
      <c r="B475" s="254" t="s">
        <v>912</v>
      </c>
      <c r="C475" s="255" t="s">
        <v>773</v>
      </c>
      <c r="D475" s="276" t="s">
        <v>142</v>
      </c>
      <c r="E475" s="277">
        <v>1.38</v>
      </c>
      <c r="F475" s="268">
        <f>G476</f>
        <v>164.12</v>
      </c>
      <c r="G475" s="257">
        <f>TRUNC(F475*1.2882,2)</f>
        <v>211.41</v>
      </c>
      <c r="H475" s="257">
        <f>TRUNC(F475*E475,2)</f>
        <v>226.48</v>
      </c>
      <c r="I475" s="258">
        <f>TRUNC(E475*G475,2)</f>
        <v>291.74</v>
      </c>
    </row>
    <row r="476" spans="1:9" s="77" customFormat="1" ht="57">
      <c r="A476" s="35"/>
      <c r="B476" s="85" t="s">
        <v>769</v>
      </c>
      <c r="C476" s="44" t="s">
        <v>770</v>
      </c>
      <c r="D476" s="106" t="s">
        <v>141</v>
      </c>
      <c r="E476" s="37">
        <v>0.6</v>
      </c>
      <c r="F476" s="42">
        <f>G482</f>
        <v>273.54</v>
      </c>
      <c r="G476" s="64">
        <f aca="true" t="shared" si="19" ref="G476:G481">TRUNC(E476*F476,2)</f>
        <v>164.12</v>
      </c>
      <c r="H476" s="42"/>
      <c r="I476" s="27"/>
    </row>
    <row r="477" spans="1:9" s="77" customFormat="1" ht="28.5">
      <c r="A477" s="35"/>
      <c r="B477" s="85" t="s">
        <v>771</v>
      </c>
      <c r="C477" s="44" t="s">
        <v>772</v>
      </c>
      <c r="D477" s="106" t="s">
        <v>141</v>
      </c>
      <c r="E477" s="37">
        <v>1</v>
      </c>
      <c r="F477" s="42">
        <f>TRUNC(199.47,2)</f>
        <v>199.47</v>
      </c>
      <c r="G477" s="42">
        <f t="shared" si="19"/>
        <v>199.47</v>
      </c>
      <c r="H477" s="42"/>
      <c r="I477" s="27"/>
    </row>
    <row r="478" spans="1:9" s="77" customFormat="1" ht="28.5">
      <c r="A478" s="35"/>
      <c r="B478" s="85" t="s">
        <v>386</v>
      </c>
      <c r="C478" s="44" t="s">
        <v>387</v>
      </c>
      <c r="D478" s="106" t="s">
        <v>45</v>
      </c>
      <c r="E478" s="37">
        <v>0.4326</v>
      </c>
      <c r="F478" s="42">
        <f>TRUNC(13.08,2)</f>
        <v>13.08</v>
      </c>
      <c r="G478" s="42">
        <f t="shared" si="19"/>
        <v>5.65</v>
      </c>
      <c r="H478" s="42"/>
      <c r="I478" s="27"/>
    </row>
    <row r="479" spans="1:9" s="77" customFormat="1" ht="14.25">
      <c r="A479" s="35"/>
      <c r="B479" s="85" t="s">
        <v>392</v>
      </c>
      <c r="C479" s="44" t="s">
        <v>393</v>
      </c>
      <c r="D479" s="106" t="s">
        <v>45</v>
      </c>
      <c r="E479" s="37">
        <v>0.4326</v>
      </c>
      <c r="F479" s="42">
        <f>TRUNC(18.05,2)</f>
        <v>18.05</v>
      </c>
      <c r="G479" s="42">
        <f t="shared" si="19"/>
        <v>7.8</v>
      </c>
      <c r="H479" s="42"/>
      <c r="I479" s="27"/>
    </row>
    <row r="480" spans="1:9" s="77" customFormat="1" ht="14.25">
      <c r="A480" s="35"/>
      <c r="B480" s="85" t="s">
        <v>436</v>
      </c>
      <c r="C480" s="44" t="s">
        <v>437</v>
      </c>
      <c r="D480" s="106" t="s">
        <v>142</v>
      </c>
      <c r="E480" s="37">
        <v>0.72</v>
      </c>
      <c r="F480" s="42">
        <f>TRUNC(44.6325,2)</f>
        <v>44.63</v>
      </c>
      <c r="G480" s="42">
        <f t="shared" si="19"/>
        <v>32.13</v>
      </c>
      <c r="H480" s="42"/>
      <c r="I480" s="27"/>
    </row>
    <row r="481" spans="1:9" s="77" customFormat="1" ht="14.25">
      <c r="A481" s="35"/>
      <c r="B481" s="85" t="s">
        <v>438</v>
      </c>
      <c r="C481" s="44" t="s">
        <v>439</v>
      </c>
      <c r="D481" s="106" t="s">
        <v>43</v>
      </c>
      <c r="E481" s="37">
        <v>0.02</v>
      </c>
      <c r="F481" s="42">
        <f>TRUNC(1424.8968,2)</f>
        <v>1424.89</v>
      </c>
      <c r="G481" s="42">
        <f t="shared" si="19"/>
        <v>28.49</v>
      </c>
      <c r="H481" s="42"/>
      <c r="I481" s="27"/>
    </row>
    <row r="482" spans="1:9" s="77" customFormat="1" ht="14.25">
      <c r="A482" s="35"/>
      <c r="B482" s="85"/>
      <c r="C482" s="44"/>
      <c r="D482" s="106"/>
      <c r="E482" s="37" t="s">
        <v>150</v>
      </c>
      <c r="F482" s="42"/>
      <c r="G482" s="42">
        <f>TRUNC(SUM(G477:G481),2)</f>
        <v>273.54</v>
      </c>
      <c r="H482" s="42"/>
      <c r="I482" s="27"/>
    </row>
    <row r="483" spans="1:9" s="167" customFormat="1" ht="28.5">
      <c r="A483" s="294" t="s">
        <v>840</v>
      </c>
      <c r="B483" s="295" t="s">
        <v>774</v>
      </c>
      <c r="C483" s="296" t="s">
        <v>794</v>
      </c>
      <c r="D483" s="343" t="s">
        <v>148</v>
      </c>
      <c r="E483" s="297">
        <v>1</v>
      </c>
      <c r="F483" s="298">
        <f>F484</f>
        <v>2311.41</v>
      </c>
      <c r="G483" s="299">
        <f>TRUNC(F483*1.2882,2)</f>
        <v>2977.55</v>
      </c>
      <c r="H483" s="299">
        <f>TRUNC(F483*E483,2)</f>
        <v>2311.41</v>
      </c>
      <c r="I483" s="300">
        <f>TRUNC(E483*G483,2)</f>
        <v>2977.55</v>
      </c>
    </row>
    <row r="484" spans="1:9" s="328" customFormat="1" ht="71.25">
      <c r="A484" s="323"/>
      <c r="B484" s="324" t="s">
        <v>775</v>
      </c>
      <c r="C484" s="325" t="s">
        <v>776</v>
      </c>
      <c r="D484" s="221" t="s">
        <v>148</v>
      </c>
      <c r="E484" s="326">
        <v>1</v>
      </c>
      <c r="F484" s="327">
        <f>G492</f>
        <v>2311.41</v>
      </c>
      <c r="G484" s="357">
        <f aca="true" t="shared" si="20" ref="G484:G491">TRUNC(E484*F484,2)</f>
        <v>2311.41</v>
      </c>
      <c r="H484" s="358"/>
      <c r="I484" s="359"/>
    </row>
    <row r="485" spans="1:9" s="328" customFormat="1" ht="28.5">
      <c r="A485" s="329"/>
      <c r="B485" s="330" t="s">
        <v>331</v>
      </c>
      <c r="C485" s="331" t="s">
        <v>587</v>
      </c>
      <c r="D485" s="164" t="s">
        <v>148</v>
      </c>
      <c r="E485" s="332">
        <v>1</v>
      </c>
      <c r="F485" s="333">
        <v>29.77</v>
      </c>
      <c r="G485" s="351">
        <f t="shared" si="20"/>
        <v>29.77</v>
      </c>
      <c r="H485" s="352"/>
      <c r="I485" s="360"/>
    </row>
    <row r="486" spans="1:9" s="328" customFormat="1" ht="30">
      <c r="A486" s="334"/>
      <c r="B486" s="335" t="s">
        <v>777</v>
      </c>
      <c r="C486" s="336" t="s">
        <v>795</v>
      </c>
      <c r="D486" s="337" t="s">
        <v>148</v>
      </c>
      <c r="E486" s="338">
        <v>1</v>
      </c>
      <c r="F486" s="339">
        <f>E497</f>
        <v>2179.2333333333336</v>
      </c>
      <c r="G486" s="353">
        <f t="shared" si="20"/>
        <v>2179.23</v>
      </c>
      <c r="H486" s="355"/>
      <c r="I486" s="361"/>
    </row>
    <row r="487" spans="1:9" s="340" customFormat="1" ht="15">
      <c r="A487" s="329"/>
      <c r="B487" s="330" t="s">
        <v>330</v>
      </c>
      <c r="C487" s="331" t="s">
        <v>588</v>
      </c>
      <c r="D487" s="164" t="s">
        <v>148</v>
      </c>
      <c r="E487" s="332">
        <v>1</v>
      </c>
      <c r="F487" s="333">
        <v>70.35</v>
      </c>
      <c r="G487" s="351">
        <f t="shared" si="20"/>
        <v>70.35</v>
      </c>
      <c r="H487" s="355"/>
      <c r="I487" s="361"/>
    </row>
    <row r="488" spans="1:9" s="340" customFormat="1" ht="28.5">
      <c r="A488" s="329"/>
      <c r="B488" s="330" t="s">
        <v>386</v>
      </c>
      <c r="C488" s="331" t="s">
        <v>387</v>
      </c>
      <c r="D488" s="164" t="s">
        <v>45</v>
      </c>
      <c r="E488" s="332">
        <v>1.03</v>
      </c>
      <c r="F488" s="333">
        <v>13.08</v>
      </c>
      <c r="G488" s="351">
        <f t="shared" si="20"/>
        <v>13.47</v>
      </c>
      <c r="H488" s="355"/>
      <c r="I488" s="361"/>
    </row>
    <row r="489" spans="1:9" s="328" customFormat="1" ht="15">
      <c r="A489" s="329"/>
      <c r="B489" s="330" t="s">
        <v>392</v>
      </c>
      <c r="C489" s="331" t="s">
        <v>393</v>
      </c>
      <c r="D489" s="164" t="s">
        <v>45</v>
      </c>
      <c r="E489" s="332">
        <v>1.03</v>
      </c>
      <c r="F489" s="333">
        <v>18.05</v>
      </c>
      <c r="G489" s="351">
        <f t="shared" si="20"/>
        <v>18.59</v>
      </c>
      <c r="H489" s="355"/>
      <c r="I489" s="361"/>
    </row>
    <row r="490" spans="1:9" s="328" customFormat="1" ht="15">
      <c r="A490" s="334"/>
      <c r="B490" s="335" t="s">
        <v>436</v>
      </c>
      <c r="C490" s="336" t="s">
        <v>437</v>
      </c>
      <c r="D490" s="337" t="s">
        <v>142</v>
      </c>
      <c r="E490" s="338">
        <v>0</v>
      </c>
      <c r="F490" s="339">
        <v>44.6325</v>
      </c>
      <c r="G490" s="353">
        <f t="shared" si="20"/>
        <v>0</v>
      </c>
      <c r="H490" s="356"/>
      <c r="I490" s="362"/>
    </row>
    <row r="491" spans="1:9" s="328" customFormat="1" ht="15">
      <c r="A491" s="334"/>
      <c r="B491" s="335" t="s">
        <v>438</v>
      </c>
      <c r="C491" s="336" t="s">
        <v>439</v>
      </c>
      <c r="D491" s="337" t="s">
        <v>43</v>
      </c>
      <c r="E491" s="338">
        <v>0</v>
      </c>
      <c r="F491" s="339">
        <v>1424.8968</v>
      </c>
      <c r="G491" s="353">
        <f t="shared" si="20"/>
        <v>0</v>
      </c>
      <c r="H491" s="356"/>
      <c r="I491" s="362"/>
    </row>
    <row r="492" spans="1:9" s="328" customFormat="1" ht="15">
      <c r="A492" s="329"/>
      <c r="B492" s="330"/>
      <c r="C492" s="331"/>
      <c r="D492" s="164"/>
      <c r="E492" s="332" t="s">
        <v>150</v>
      </c>
      <c r="F492" s="339"/>
      <c r="G492" s="351">
        <f>TRUNC(SUM(G485:G491),2)</f>
        <v>2311.41</v>
      </c>
      <c r="H492" s="352"/>
      <c r="I492" s="360"/>
    </row>
    <row r="493" spans="1:9" s="328" customFormat="1" ht="15">
      <c r="A493" s="329"/>
      <c r="B493" s="342" t="s">
        <v>778</v>
      </c>
      <c r="C493" s="354"/>
      <c r="D493" s="164"/>
      <c r="E493" s="332"/>
      <c r="F493" s="333"/>
      <c r="G493" s="351"/>
      <c r="I493" s="360"/>
    </row>
    <row r="494" spans="1:9" s="328" customFormat="1" ht="28.5">
      <c r="A494" s="329"/>
      <c r="B494" s="342" t="s">
        <v>779</v>
      </c>
      <c r="C494" s="354" t="s">
        <v>795</v>
      </c>
      <c r="D494" s="164" t="s">
        <v>148</v>
      </c>
      <c r="E494" s="332">
        <f>(1400+500/3)*1.07</f>
        <v>1676.3333333333335</v>
      </c>
      <c r="F494" s="333"/>
      <c r="G494" s="351"/>
      <c r="I494" s="360"/>
    </row>
    <row r="495" spans="1:9" s="328" customFormat="1" ht="28.5">
      <c r="A495" s="329"/>
      <c r="B495" s="342" t="s">
        <v>780</v>
      </c>
      <c r="C495" s="354" t="s">
        <v>795</v>
      </c>
      <c r="D495" s="164" t="s">
        <v>148</v>
      </c>
      <c r="E495" s="332">
        <f>2365*1.07</f>
        <v>2530.55</v>
      </c>
      <c r="F495" s="333"/>
      <c r="G495" s="351"/>
      <c r="I495" s="360"/>
    </row>
    <row r="496" spans="1:9" s="328" customFormat="1" ht="28.5">
      <c r="A496" s="329"/>
      <c r="B496" s="342" t="s">
        <v>781</v>
      </c>
      <c r="C496" s="354" t="s">
        <v>795</v>
      </c>
      <c r="D496" s="164" t="s">
        <v>148</v>
      </c>
      <c r="E496" s="332">
        <f>(1870+500/3)*1.07</f>
        <v>2179.2333333333336</v>
      </c>
      <c r="F496" s="333"/>
      <c r="G496" s="351"/>
      <c r="I496" s="360"/>
    </row>
    <row r="497" spans="1:9" s="328" customFormat="1" ht="15">
      <c r="A497" s="341"/>
      <c r="B497" s="363"/>
      <c r="C497" s="364" t="s">
        <v>782</v>
      </c>
      <c r="D497" s="365" t="s">
        <v>148</v>
      </c>
      <c r="E497" s="366">
        <f>MEDIAN(E494,E495,E496)</f>
        <v>2179.2333333333336</v>
      </c>
      <c r="F497" s="367"/>
      <c r="G497" s="368"/>
      <c r="H497" s="369"/>
      <c r="I497" s="370"/>
    </row>
    <row r="498" spans="1:9" s="22" customFormat="1" ht="15">
      <c r="A498" s="344" t="s">
        <v>491</v>
      </c>
      <c r="B498" s="345"/>
      <c r="C498" s="346" t="s">
        <v>35</v>
      </c>
      <c r="D498" s="347"/>
      <c r="E498" s="348"/>
      <c r="F498" s="349"/>
      <c r="G498" s="349"/>
      <c r="H498" s="350">
        <f>H226+H233+H241+H245+H251+H268+H271+H282+H295+H300+H306+H313+H320+H327+H333+H339+H345+H350+H356+H363+H368+H374+H380+H388+H395+H415+H435+H439+H443+H451+H459+H463+H469+H475+H483</f>
        <v>26821.949999999993</v>
      </c>
      <c r="I498" s="350">
        <f>I226+I233+I241+I245+I251+I268+I271+I282+I295+I300+I306+I313+I320+I327+I333+I339+I345+I350+I356+I363+I368+I374+I380+I388+I395+I415+I435+I439+I443+I451+I459+I463+I469+I475+I483</f>
        <v>34550.340000000004</v>
      </c>
    </row>
    <row r="499" spans="1:9" ht="15">
      <c r="A499" s="81" t="s">
        <v>36</v>
      </c>
      <c r="B499" s="93"/>
      <c r="C499" s="59" t="s">
        <v>10</v>
      </c>
      <c r="D499" s="104"/>
      <c r="E499" s="59"/>
      <c r="F499" s="60"/>
      <c r="G499" s="60"/>
      <c r="H499" s="60"/>
      <c r="I499" s="61"/>
    </row>
    <row r="500" spans="1:9" s="188" customFormat="1" ht="71.25">
      <c r="A500" s="253" t="s">
        <v>93</v>
      </c>
      <c r="B500" s="254" t="s">
        <v>845</v>
      </c>
      <c r="C500" s="260" t="s">
        <v>846</v>
      </c>
      <c r="D500" s="380" t="s">
        <v>148</v>
      </c>
      <c r="E500" s="258">
        <v>10</v>
      </c>
      <c r="F500" s="258">
        <f>F501</f>
        <v>245.66</v>
      </c>
      <c r="G500" s="257">
        <f>TRUNC(F500*1.2882,2)</f>
        <v>316.45</v>
      </c>
      <c r="H500" s="257">
        <f>TRUNC(F500*E500,2)</f>
        <v>2456.6</v>
      </c>
      <c r="I500" s="258">
        <f>TRUNC(E500*G500,2)</f>
        <v>3164.5</v>
      </c>
    </row>
    <row r="501" spans="1:9" s="83" customFormat="1" ht="71.25">
      <c r="A501" s="35"/>
      <c r="B501" s="85" t="s">
        <v>845</v>
      </c>
      <c r="C501" s="36" t="s">
        <v>846</v>
      </c>
      <c r="D501" s="107" t="s">
        <v>148</v>
      </c>
      <c r="E501" s="27">
        <v>1</v>
      </c>
      <c r="F501" s="27">
        <f>G514</f>
        <v>245.66</v>
      </c>
      <c r="G501" s="27">
        <f aca="true" t="shared" si="21" ref="G501:G513">TRUNC(E501*F501,2)</f>
        <v>245.66</v>
      </c>
      <c r="H501" s="27"/>
      <c r="I501" s="27"/>
    </row>
    <row r="502" spans="1:9" s="83" customFormat="1" ht="14.25">
      <c r="A502" s="35"/>
      <c r="B502" s="85" t="s">
        <v>1</v>
      </c>
      <c r="C502" s="36" t="s">
        <v>589</v>
      </c>
      <c r="D502" s="107" t="s">
        <v>148</v>
      </c>
      <c r="E502" s="27">
        <v>1</v>
      </c>
      <c r="F502" s="27">
        <f>TRUNC(1.21,2)</f>
        <v>1.21</v>
      </c>
      <c r="G502" s="27">
        <f t="shared" si="21"/>
        <v>1.21</v>
      </c>
      <c r="H502" s="27"/>
      <c r="I502" s="27"/>
    </row>
    <row r="503" spans="1:9" s="83" customFormat="1" ht="14.25">
      <c r="A503" s="35"/>
      <c r="B503" s="85" t="s">
        <v>49</v>
      </c>
      <c r="C503" s="36" t="s">
        <v>590</v>
      </c>
      <c r="D503" s="107" t="s">
        <v>148</v>
      </c>
      <c r="E503" s="27">
        <v>1</v>
      </c>
      <c r="F503" s="27">
        <f>TRUNC(0.55,2)</f>
        <v>0.55</v>
      </c>
      <c r="G503" s="27">
        <f t="shared" si="21"/>
        <v>0.55</v>
      </c>
      <c r="H503" s="27"/>
      <c r="I503" s="27"/>
    </row>
    <row r="504" spans="1:9" s="83" customFormat="1" ht="14.25">
      <c r="A504" s="35"/>
      <c r="B504" s="85" t="s">
        <v>40</v>
      </c>
      <c r="C504" s="36" t="s">
        <v>591</v>
      </c>
      <c r="D504" s="107" t="s">
        <v>148</v>
      </c>
      <c r="E504" s="27">
        <v>1</v>
      </c>
      <c r="F504" s="27">
        <f>TRUNC(0.62,2)</f>
        <v>0.62</v>
      </c>
      <c r="G504" s="27">
        <f t="shared" si="21"/>
        <v>0.62</v>
      </c>
      <c r="H504" s="27"/>
      <c r="I504" s="27"/>
    </row>
    <row r="505" spans="1:9" s="83" customFormat="1" ht="14.25">
      <c r="A505" s="35"/>
      <c r="B505" s="85" t="s">
        <v>39</v>
      </c>
      <c r="C505" s="36" t="s">
        <v>592</v>
      </c>
      <c r="D505" s="107" t="s">
        <v>148</v>
      </c>
      <c r="E505" s="27">
        <v>1</v>
      </c>
      <c r="F505" s="27">
        <f>TRUNC(0.41,2)</f>
        <v>0.41</v>
      </c>
      <c r="G505" s="27">
        <f t="shared" si="21"/>
        <v>0.41</v>
      </c>
      <c r="H505" s="27"/>
      <c r="I505" s="27"/>
    </row>
    <row r="506" spans="1:9" s="83" customFormat="1" ht="28.5">
      <c r="A506" s="35"/>
      <c r="B506" s="85" t="s">
        <v>34</v>
      </c>
      <c r="C506" s="36" t="s">
        <v>581</v>
      </c>
      <c r="D506" s="107" t="s">
        <v>148</v>
      </c>
      <c r="E506" s="27">
        <v>2</v>
      </c>
      <c r="F506" s="27">
        <f>TRUNC(4.41,2)</f>
        <v>4.41</v>
      </c>
      <c r="G506" s="27">
        <f t="shared" si="21"/>
        <v>8.82</v>
      </c>
      <c r="H506" s="27"/>
      <c r="I506" s="27"/>
    </row>
    <row r="507" spans="1:9" s="83" customFormat="1" ht="14.25">
      <c r="A507" s="35"/>
      <c r="B507" s="85" t="s">
        <v>71</v>
      </c>
      <c r="C507" s="36" t="s">
        <v>258</v>
      </c>
      <c r="D507" s="107" t="s">
        <v>148</v>
      </c>
      <c r="E507" s="27">
        <v>1</v>
      </c>
      <c r="F507" s="27">
        <f>TRUNC(2.63,2)</f>
        <v>2.63</v>
      </c>
      <c r="G507" s="27">
        <f t="shared" si="21"/>
        <v>2.63</v>
      </c>
      <c r="H507" s="27"/>
      <c r="I507" s="27"/>
    </row>
    <row r="508" spans="1:9" s="83" customFormat="1" ht="14.25">
      <c r="A508" s="35"/>
      <c r="B508" s="85" t="s">
        <v>33</v>
      </c>
      <c r="C508" s="36" t="s">
        <v>257</v>
      </c>
      <c r="D508" s="107" t="s">
        <v>141</v>
      </c>
      <c r="E508" s="27">
        <v>12</v>
      </c>
      <c r="F508" s="27">
        <f>TRUNC(0.9406,2)</f>
        <v>0.94</v>
      </c>
      <c r="G508" s="27">
        <f t="shared" si="21"/>
        <v>11.28</v>
      </c>
      <c r="H508" s="27"/>
      <c r="I508" s="27"/>
    </row>
    <row r="509" spans="1:9" s="83" customFormat="1" ht="14.25">
      <c r="A509" s="35"/>
      <c r="B509" s="85" t="s">
        <v>23</v>
      </c>
      <c r="C509" s="36" t="s">
        <v>593</v>
      </c>
      <c r="D509" s="107" t="s">
        <v>148</v>
      </c>
      <c r="E509" s="27">
        <v>4</v>
      </c>
      <c r="F509" s="27">
        <f>TRUNC(0.71,2)</f>
        <v>0.71</v>
      </c>
      <c r="G509" s="27">
        <f t="shared" si="21"/>
        <v>2.84</v>
      </c>
      <c r="H509" s="27"/>
      <c r="I509" s="27"/>
    </row>
    <row r="510" spans="1:9" s="83" customFormat="1" ht="28.5">
      <c r="A510" s="35"/>
      <c r="B510" s="85" t="s">
        <v>386</v>
      </c>
      <c r="C510" s="36" t="s">
        <v>387</v>
      </c>
      <c r="D510" s="107" t="s">
        <v>45</v>
      </c>
      <c r="E510" s="27">
        <v>6.18</v>
      </c>
      <c r="F510" s="27">
        <f>TRUNC(13.08,2)</f>
        <v>13.08</v>
      </c>
      <c r="G510" s="27">
        <f t="shared" si="21"/>
        <v>80.83</v>
      </c>
      <c r="H510" s="27"/>
      <c r="I510" s="27"/>
    </row>
    <row r="511" spans="1:9" s="83" customFormat="1" ht="14.25">
      <c r="A511" s="35"/>
      <c r="B511" s="85" t="s">
        <v>392</v>
      </c>
      <c r="C511" s="36" t="s">
        <v>393</v>
      </c>
      <c r="D511" s="107" t="s">
        <v>45</v>
      </c>
      <c r="E511" s="27">
        <v>3.09</v>
      </c>
      <c r="F511" s="27">
        <f>TRUNC(18.05,2)</f>
        <v>18.05</v>
      </c>
      <c r="G511" s="27">
        <f t="shared" si="21"/>
        <v>55.77</v>
      </c>
      <c r="H511" s="27"/>
      <c r="I511" s="27"/>
    </row>
    <row r="512" spans="1:9" s="83" customFormat="1" ht="28.5">
      <c r="A512" s="35"/>
      <c r="B512" s="85" t="s">
        <v>410</v>
      </c>
      <c r="C512" s="36" t="s">
        <v>411</v>
      </c>
      <c r="D512" s="107" t="s">
        <v>45</v>
      </c>
      <c r="E512" s="27">
        <v>4.12</v>
      </c>
      <c r="F512" s="27">
        <f>TRUNC(18.05,2)</f>
        <v>18.05</v>
      </c>
      <c r="G512" s="27">
        <f t="shared" si="21"/>
        <v>74.36</v>
      </c>
      <c r="H512" s="27"/>
      <c r="I512" s="27"/>
    </row>
    <row r="513" spans="1:9" s="83" customFormat="1" ht="14.25">
      <c r="A513" s="35"/>
      <c r="B513" s="85" t="s">
        <v>394</v>
      </c>
      <c r="C513" s="36" t="s">
        <v>395</v>
      </c>
      <c r="D513" s="107" t="s">
        <v>43</v>
      </c>
      <c r="E513" s="27">
        <v>0.03</v>
      </c>
      <c r="F513" s="27">
        <f>TRUNC(211.3936,2)</f>
        <v>211.39</v>
      </c>
      <c r="G513" s="27">
        <f t="shared" si="21"/>
        <v>6.34</v>
      </c>
      <c r="H513" s="27"/>
      <c r="I513" s="27"/>
    </row>
    <row r="514" spans="1:9" s="83" customFormat="1" ht="14.25">
      <c r="A514" s="35"/>
      <c r="B514" s="85"/>
      <c r="C514" s="36"/>
      <c r="D514" s="107"/>
      <c r="E514" s="27" t="s">
        <v>150</v>
      </c>
      <c r="F514" s="27"/>
      <c r="G514" s="27">
        <f>TRUNC(SUM(G502:G513),2)</f>
        <v>245.66</v>
      </c>
      <c r="H514" s="27"/>
      <c r="I514" s="27"/>
    </row>
    <row r="515" spans="1:9" s="188" customFormat="1" ht="71.25">
      <c r="A515" s="253" t="s">
        <v>94</v>
      </c>
      <c r="B515" s="254" t="s">
        <v>847</v>
      </c>
      <c r="C515" s="260" t="s">
        <v>848</v>
      </c>
      <c r="D515" s="380" t="s">
        <v>148</v>
      </c>
      <c r="E515" s="258">
        <v>11</v>
      </c>
      <c r="F515" s="258">
        <f>F516</f>
        <v>461.46</v>
      </c>
      <c r="G515" s="257">
        <f>TRUNC(F515*1.2882,2)</f>
        <v>594.45</v>
      </c>
      <c r="H515" s="257">
        <f>TRUNC(F515*E515,2)</f>
        <v>5076.06</v>
      </c>
      <c r="I515" s="258">
        <f>TRUNC(E515*G515,2)</f>
        <v>6538.95</v>
      </c>
    </row>
    <row r="516" spans="1:9" s="83" customFormat="1" ht="71.25">
      <c r="A516" s="35"/>
      <c r="B516" s="85" t="s">
        <v>847</v>
      </c>
      <c r="C516" s="36" t="s">
        <v>848</v>
      </c>
      <c r="D516" s="107" t="s">
        <v>148</v>
      </c>
      <c r="E516" s="27">
        <v>1</v>
      </c>
      <c r="F516" s="27">
        <f>G529</f>
        <v>461.46</v>
      </c>
      <c r="G516" s="27">
        <f aca="true" t="shared" si="22" ref="G516:G528">TRUNC(E516*F516,2)</f>
        <v>461.46</v>
      </c>
      <c r="H516" s="27"/>
      <c r="I516" s="27"/>
    </row>
    <row r="517" spans="1:9" s="83" customFormat="1" ht="14.25">
      <c r="A517" s="35"/>
      <c r="B517" s="85" t="s">
        <v>1</v>
      </c>
      <c r="C517" s="36" t="s">
        <v>589</v>
      </c>
      <c r="D517" s="107" t="s">
        <v>148</v>
      </c>
      <c r="E517" s="27">
        <v>2</v>
      </c>
      <c r="F517" s="27">
        <f>TRUNC(1.21,2)</f>
        <v>1.21</v>
      </c>
      <c r="G517" s="27">
        <f t="shared" si="22"/>
        <v>2.42</v>
      </c>
      <c r="H517" s="27"/>
      <c r="I517" s="27"/>
    </row>
    <row r="518" spans="1:9" s="83" customFormat="1" ht="14.25">
      <c r="A518" s="35"/>
      <c r="B518" s="85" t="s">
        <v>49</v>
      </c>
      <c r="C518" s="36" t="s">
        <v>590</v>
      </c>
      <c r="D518" s="107" t="s">
        <v>148</v>
      </c>
      <c r="E518" s="27">
        <v>1</v>
      </c>
      <c r="F518" s="27">
        <f>TRUNC(0.55,2)</f>
        <v>0.55</v>
      </c>
      <c r="G518" s="27">
        <f t="shared" si="22"/>
        <v>0.55</v>
      </c>
      <c r="H518" s="27"/>
      <c r="I518" s="27"/>
    </row>
    <row r="519" spans="1:9" s="83" customFormat="1" ht="14.25">
      <c r="A519" s="35"/>
      <c r="B519" s="85" t="s">
        <v>40</v>
      </c>
      <c r="C519" s="36" t="s">
        <v>591</v>
      </c>
      <c r="D519" s="107" t="s">
        <v>148</v>
      </c>
      <c r="E519" s="27">
        <v>1</v>
      </c>
      <c r="F519" s="27">
        <f>TRUNC(0.62,2)</f>
        <v>0.62</v>
      </c>
      <c r="G519" s="27">
        <f t="shared" si="22"/>
        <v>0.62</v>
      </c>
      <c r="H519" s="27"/>
      <c r="I519" s="27"/>
    </row>
    <row r="520" spans="1:9" s="83" customFormat="1" ht="14.25">
      <c r="A520" s="35"/>
      <c r="B520" s="85" t="s">
        <v>39</v>
      </c>
      <c r="C520" s="36" t="s">
        <v>592</v>
      </c>
      <c r="D520" s="107" t="s">
        <v>148</v>
      </c>
      <c r="E520" s="27">
        <v>3</v>
      </c>
      <c r="F520" s="27">
        <f>TRUNC(0.41,2)</f>
        <v>0.41</v>
      </c>
      <c r="G520" s="27">
        <f t="shared" si="22"/>
        <v>1.23</v>
      </c>
      <c r="H520" s="27"/>
      <c r="I520" s="27"/>
    </row>
    <row r="521" spans="1:9" s="83" customFormat="1" ht="28.5">
      <c r="A521" s="35"/>
      <c r="B521" s="85" t="s">
        <v>34</v>
      </c>
      <c r="C521" s="36" t="s">
        <v>581</v>
      </c>
      <c r="D521" s="107" t="s">
        <v>148</v>
      </c>
      <c r="E521" s="27">
        <v>5</v>
      </c>
      <c r="F521" s="27">
        <f>TRUNC(4.41,2)</f>
        <v>4.41</v>
      </c>
      <c r="G521" s="27">
        <f t="shared" si="22"/>
        <v>22.05</v>
      </c>
      <c r="H521" s="27"/>
      <c r="I521" s="27"/>
    </row>
    <row r="522" spans="1:9" s="83" customFormat="1" ht="14.25">
      <c r="A522" s="35"/>
      <c r="B522" s="85" t="s">
        <v>71</v>
      </c>
      <c r="C522" s="36" t="s">
        <v>258</v>
      </c>
      <c r="D522" s="107" t="s">
        <v>148</v>
      </c>
      <c r="E522" s="27">
        <v>1</v>
      </c>
      <c r="F522" s="27">
        <f>TRUNC(2.63,2)</f>
        <v>2.63</v>
      </c>
      <c r="G522" s="27">
        <f t="shared" si="22"/>
        <v>2.63</v>
      </c>
      <c r="H522" s="27"/>
      <c r="I522" s="27"/>
    </row>
    <row r="523" spans="1:9" s="83" customFormat="1" ht="14.25">
      <c r="A523" s="35"/>
      <c r="B523" s="85" t="s">
        <v>33</v>
      </c>
      <c r="C523" s="36" t="s">
        <v>257</v>
      </c>
      <c r="D523" s="107" t="s">
        <v>141</v>
      </c>
      <c r="E523" s="27">
        <v>33</v>
      </c>
      <c r="F523" s="27">
        <f>TRUNC(0.9406,2)</f>
        <v>0.94</v>
      </c>
      <c r="G523" s="27">
        <f t="shared" si="22"/>
        <v>31.02</v>
      </c>
      <c r="H523" s="27"/>
      <c r="I523" s="27"/>
    </row>
    <row r="524" spans="1:9" s="83" customFormat="1" ht="14.25">
      <c r="A524" s="35"/>
      <c r="B524" s="85" t="s">
        <v>23</v>
      </c>
      <c r="C524" s="36" t="s">
        <v>593</v>
      </c>
      <c r="D524" s="107" t="s">
        <v>148</v>
      </c>
      <c r="E524" s="27">
        <v>10</v>
      </c>
      <c r="F524" s="27">
        <f>TRUNC(0.71,2)</f>
        <v>0.71</v>
      </c>
      <c r="G524" s="27">
        <f t="shared" si="22"/>
        <v>7.1</v>
      </c>
      <c r="H524" s="27"/>
      <c r="I524" s="27"/>
    </row>
    <row r="525" spans="1:9" s="83" customFormat="1" ht="28.5">
      <c r="A525" s="35"/>
      <c r="B525" s="85" t="s">
        <v>386</v>
      </c>
      <c r="C525" s="36" t="s">
        <v>387</v>
      </c>
      <c r="D525" s="107" t="s">
        <v>45</v>
      </c>
      <c r="E525" s="27">
        <v>8.858</v>
      </c>
      <c r="F525" s="27">
        <f>TRUNC(13.08,2)</f>
        <v>13.08</v>
      </c>
      <c r="G525" s="27">
        <f t="shared" si="22"/>
        <v>115.86</v>
      </c>
      <c r="H525" s="27"/>
      <c r="I525" s="27"/>
    </row>
    <row r="526" spans="1:9" s="83" customFormat="1" ht="14.25">
      <c r="A526" s="35"/>
      <c r="B526" s="85" t="s">
        <v>392</v>
      </c>
      <c r="C526" s="36" t="s">
        <v>393</v>
      </c>
      <c r="D526" s="107" t="s">
        <v>45</v>
      </c>
      <c r="E526" s="27">
        <v>7.7250000000000005</v>
      </c>
      <c r="F526" s="27">
        <f>TRUNC(18.05,2)</f>
        <v>18.05</v>
      </c>
      <c r="G526" s="27">
        <f t="shared" si="22"/>
        <v>139.43</v>
      </c>
      <c r="H526" s="27"/>
      <c r="I526" s="27"/>
    </row>
    <row r="527" spans="1:9" s="83" customFormat="1" ht="28.5">
      <c r="A527" s="35"/>
      <c r="B527" s="85" t="s">
        <v>410</v>
      </c>
      <c r="C527" s="36" t="s">
        <v>411</v>
      </c>
      <c r="D527" s="107" t="s">
        <v>45</v>
      </c>
      <c r="E527" s="27">
        <v>6.798</v>
      </c>
      <c r="F527" s="27">
        <f>TRUNC(18.05,2)</f>
        <v>18.05</v>
      </c>
      <c r="G527" s="27">
        <f t="shared" si="22"/>
        <v>122.7</v>
      </c>
      <c r="H527" s="27"/>
      <c r="I527" s="27"/>
    </row>
    <row r="528" spans="1:9" s="83" customFormat="1" ht="14.25">
      <c r="A528" s="35"/>
      <c r="B528" s="85" t="s">
        <v>394</v>
      </c>
      <c r="C528" s="36" t="s">
        <v>395</v>
      </c>
      <c r="D528" s="107" t="s">
        <v>43</v>
      </c>
      <c r="E528" s="27">
        <v>0.075</v>
      </c>
      <c r="F528" s="27">
        <f>TRUNC(211.3936,2)</f>
        <v>211.39</v>
      </c>
      <c r="G528" s="27">
        <f t="shared" si="22"/>
        <v>15.85</v>
      </c>
      <c r="H528" s="27"/>
      <c r="I528" s="27"/>
    </row>
    <row r="529" spans="1:9" s="83" customFormat="1" ht="14.25">
      <c r="A529" s="35"/>
      <c r="B529" s="85"/>
      <c r="C529" s="36"/>
      <c r="D529" s="107"/>
      <c r="E529" s="27" t="s">
        <v>150</v>
      </c>
      <c r="F529" s="27"/>
      <c r="G529" s="27">
        <f>TRUNC(SUM(G517:G528),2)</f>
        <v>461.46</v>
      </c>
      <c r="H529" s="27"/>
      <c r="I529" s="27"/>
    </row>
    <row r="530" spans="1:9" s="188" customFormat="1" ht="71.25">
      <c r="A530" s="253" t="s">
        <v>95</v>
      </c>
      <c r="B530" s="254" t="s">
        <v>849</v>
      </c>
      <c r="C530" s="260" t="s">
        <v>850</v>
      </c>
      <c r="D530" s="380" t="s">
        <v>148</v>
      </c>
      <c r="E530" s="258">
        <v>1</v>
      </c>
      <c r="F530" s="258">
        <f>F531</f>
        <v>587.18</v>
      </c>
      <c r="G530" s="257">
        <f>TRUNC(F530*1.2882,2)</f>
        <v>756.4</v>
      </c>
      <c r="H530" s="257">
        <f>TRUNC(F530*E530,2)</f>
        <v>587.18</v>
      </c>
      <c r="I530" s="258">
        <f>TRUNC(E530*G530,2)</f>
        <v>756.4</v>
      </c>
    </row>
    <row r="531" spans="1:9" s="83" customFormat="1" ht="71.25">
      <c r="A531" s="35"/>
      <c r="B531" s="85" t="s">
        <v>849</v>
      </c>
      <c r="C531" s="36" t="s">
        <v>850</v>
      </c>
      <c r="D531" s="107" t="s">
        <v>148</v>
      </c>
      <c r="E531" s="27">
        <v>1</v>
      </c>
      <c r="F531" s="27">
        <f>G544</f>
        <v>587.18</v>
      </c>
      <c r="G531" s="27">
        <f aca="true" t="shared" si="23" ref="G531:G543">TRUNC(E531*F531,2)</f>
        <v>587.18</v>
      </c>
      <c r="H531" s="27"/>
      <c r="I531" s="27"/>
    </row>
    <row r="532" spans="1:9" s="83" customFormat="1" ht="14.25">
      <c r="A532" s="35"/>
      <c r="B532" s="85" t="s">
        <v>1</v>
      </c>
      <c r="C532" s="36" t="s">
        <v>589</v>
      </c>
      <c r="D532" s="107" t="s">
        <v>148</v>
      </c>
      <c r="E532" s="27">
        <v>3</v>
      </c>
      <c r="F532" s="27">
        <f>TRUNC(1.21,2)</f>
        <v>1.21</v>
      </c>
      <c r="G532" s="27">
        <f t="shared" si="23"/>
        <v>3.63</v>
      </c>
      <c r="H532" s="27"/>
      <c r="I532" s="27"/>
    </row>
    <row r="533" spans="1:9" s="83" customFormat="1" ht="14.25">
      <c r="A533" s="35"/>
      <c r="B533" s="85" t="s">
        <v>49</v>
      </c>
      <c r="C533" s="36" t="s">
        <v>590</v>
      </c>
      <c r="D533" s="107" t="s">
        <v>148</v>
      </c>
      <c r="E533" s="27">
        <v>1</v>
      </c>
      <c r="F533" s="27">
        <f>TRUNC(0.55,2)</f>
        <v>0.55</v>
      </c>
      <c r="G533" s="27">
        <f t="shared" si="23"/>
        <v>0.55</v>
      </c>
      <c r="H533" s="27"/>
      <c r="I533" s="27"/>
    </row>
    <row r="534" spans="1:9" s="83" customFormat="1" ht="14.25">
      <c r="A534" s="35"/>
      <c r="B534" s="85" t="s">
        <v>40</v>
      </c>
      <c r="C534" s="36" t="s">
        <v>591</v>
      </c>
      <c r="D534" s="107" t="s">
        <v>148</v>
      </c>
      <c r="E534" s="27">
        <v>1</v>
      </c>
      <c r="F534" s="27">
        <f>TRUNC(0.62,2)</f>
        <v>0.62</v>
      </c>
      <c r="G534" s="27">
        <f t="shared" si="23"/>
        <v>0.62</v>
      </c>
      <c r="H534" s="27"/>
      <c r="I534" s="27"/>
    </row>
    <row r="535" spans="1:9" s="83" customFormat="1" ht="14.25">
      <c r="A535" s="35"/>
      <c r="B535" s="85" t="s">
        <v>39</v>
      </c>
      <c r="C535" s="36" t="s">
        <v>592</v>
      </c>
      <c r="D535" s="107" t="s">
        <v>148</v>
      </c>
      <c r="E535" s="27">
        <v>3</v>
      </c>
      <c r="F535" s="27">
        <f>TRUNC(0.41,2)</f>
        <v>0.41</v>
      </c>
      <c r="G535" s="27">
        <f t="shared" si="23"/>
        <v>1.23</v>
      </c>
      <c r="H535" s="27"/>
      <c r="I535" s="27"/>
    </row>
    <row r="536" spans="1:9" s="83" customFormat="1" ht="28.5">
      <c r="A536" s="35"/>
      <c r="B536" s="85" t="s">
        <v>34</v>
      </c>
      <c r="C536" s="36" t="s">
        <v>581</v>
      </c>
      <c r="D536" s="107" t="s">
        <v>148</v>
      </c>
      <c r="E536" s="27">
        <v>6</v>
      </c>
      <c r="F536" s="27">
        <f>TRUNC(4.41,2)</f>
        <v>4.41</v>
      </c>
      <c r="G536" s="27">
        <f t="shared" si="23"/>
        <v>26.46</v>
      </c>
      <c r="H536" s="27"/>
      <c r="I536" s="27"/>
    </row>
    <row r="537" spans="1:9" s="83" customFormat="1" ht="14.25">
      <c r="A537" s="35"/>
      <c r="B537" s="85" t="s">
        <v>71</v>
      </c>
      <c r="C537" s="36" t="s">
        <v>258</v>
      </c>
      <c r="D537" s="107" t="s">
        <v>148</v>
      </c>
      <c r="E537" s="27">
        <v>1</v>
      </c>
      <c r="F537" s="27">
        <f>TRUNC(2.63,2)</f>
        <v>2.63</v>
      </c>
      <c r="G537" s="27">
        <f t="shared" si="23"/>
        <v>2.63</v>
      </c>
      <c r="H537" s="27"/>
      <c r="I537" s="27"/>
    </row>
    <row r="538" spans="1:9" s="83" customFormat="1" ht="14.25">
      <c r="A538" s="35"/>
      <c r="B538" s="85" t="s">
        <v>33</v>
      </c>
      <c r="C538" s="36" t="s">
        <v>257</v>
      </c>
      <c r="D538" s="107" t="s">
        <v>141</v>
      </c>
      <c r="E538" s="27">
        <v>50</v>
      </c>
      <c r="F538" s="27">
        <f>TRUNC(0.9406,2)</f>
        <v>0.94</v>
      </c>
      <c r="G538" s="27">
        <f t="shared" si="23"/>
        <v>47</v>
      </c>
      <c r="H538" s="27"/>
      <c r="I538" s="27"/>
    </row>
    <row r="539" spans="1:9" s="83" customFormat="1" ht="14.25">
      <c r="A539" s="35"/>
      <c r="B539" s="85" t="s">
        <v>23</v>
      </c>
      <c r="C539" s="36" t="s">
        <v>593</v>
      </c>
      <c r="D539" s="107" t="s">
        <v>148</v>
      </c>
      <c r="E539" s="27">
        <v>14</v>
      </c>
      <c r="F539" s="27">
        <f>TRUNC(0.71,2)</f>
        <v>0.71</v>
      </c>
      <c r="G539" s="27">
        <f t="shared" si="23"/>
        <v>9.94</v>
      </c>
      <c r="H539" s="27"/>
      <c r="I539" s="27"/>
    </row>
    <row r="540" spans="1:9" s="83" customFormat="1" ht="28.5">
      <c r="A540" s="35"/>
      <c r="B540" s="85" t="s">
        <v>386</v>
      </c>
      <c r="C540" s="36" t="s">
        <v>387</v>
      </c>
      <c r="D540" s="107" t="s">
        <v>45</v>
      </c>
      <c r="E540" s="27">
        <v>10.815</v>
      </c>
      <c r="F540" s="27">
        <f>TRUNC(13.08,2)</f>
        <v>13.08</v>
      </c>
      <c r="G540" s="27">
        <f t="shared" si="23"/>
        <v>141.46</v>
      </c>
      <c r="H540" s="27"/>
      <c r="I540" s="27"/>
    </row>
    <row r="541" spans="1:9" s="83" customFormat="1" ht="14.25">
      <c r="A541" s="35"/>
      <c r="B541" s="85" t="s">
        <v>392</v>
      </c>
      <c r="C541" s="36" t="s">
        <v>393</v>
      </c>
      <c r="D541" s="107" t="s">
        <v>45</v>
      </c>
      <c r="E541" s="27">
        <v>9.27</v>
      </c>
      <c r="F541" s="27">
        <f>TRUNC(18.05,2)</f>
        <v>18.05</v>
      </c>
      <c r="G541" s="27">
        <f t="shared" si="23"/>
        <v>167.32</v>
      </c>
      <c r="H541" s="27"/>
      <c r="I541" s="27"/>
    </row>
    <row r="542" spans="1:9" s="83" customFormat="1" ht="28.5">
      <c r="A542" s="35"/>
      <c r="B542" s="85" t="s">
        <v>410</v>
      </c>
      <c r="C542" s="36" t="s">
        <v>411</v>
      </c>
      <c r="D542" s="107" t="s">
        <v>45</v>
      </c>
      <c r="E542" s="27">
        <v>9.27</v>
      </c>
      <c r="F542" s="27">
        <f>TRUNC(18.05,2)</f>
        <v>18.05</v>
      </c>
      <c r="G542" s="27">
        <f t="shared" si="23"/>
        <v>167.32</v>
      </c>
      <c r="H542" s="27"/>
      <c r="I542" s="27"/>
    </row>
    <row r="543" spans="1:9" s="83" customFormat="1" ht="14.25">
      <c r="A543" s="35"/>
      <c r="B543" s="85" t="s">
        <v>394</v>
      </c>
      <c r="C543" s="36" t="s">
        <v>395</v>
      </c>
      <c r="D543" s="107" t="s">
        <v>43</v>
      </c>
      <c r="E543" s="27">
        <v>0.09</v>
      </c>
      <c r="F543" s="27">
        <f>TRUNC(211.3936,2)</f>
        <v>211.39</v>
      </c>
      <c r="G543" s="27">
        <f t="shared" si="23"/>
        <v>19.02</v>
      </c>
      <c r="H543" s="27"/>
      <c r="I543" s="27"/>
    </row>
    <row r="544" spans="1:9" s="83" customFormat="1" ht="14.25">
      <c r="A544" s="35"/>
      <c r="B544" s="85"/>
      <c r="C544" s="36"/>
      <c r="D544" s="107"/>
      <c r="E544" s="27" t="s">
        <v>150</v>
      </c>
      <c r="F544" s="27"/>
      <c r="G544" s="27">
        <f>TRUNC(SUM(G532:G543),2)</f>
        <v>587.18</v>
      </c>
      <c r="H544" s="27"/>
      <c r="I544" s="27"/>
    </row>
    <row r="545" spans="1:9" s="188" customFormat="1" ht="71.25">
      <c r="A545" s="253" t="s">
        <v>96</v>
      </c>
      <c r="B545" s="254" t="s">
        <v>851</v>
      </c>
      <c r="C545" s="260" t="s">
        <v>852</v>
      </c>
      <c r="D545" s="380" t="s">
        <v>148</v>
      </c>
      <c r="E545" s="258">
        <v>2</v>
      </c>
      <c r="F545" s="258">
        <f>F546</f>
        <v>638.89</v>
      </c>
      <c r="G545" s="257">
        <f>TRUNC(F545*1.2882,2)</f>
        <v>823.01</v>
      </c>
      <c r="H545" s="257">
        <f>TRUNC(F545*E545,2)</f>
        <v>1277.78</v>
      </c>
      <c r="I545" s="258">
        <f>TRUNC(E545*G545,2)</f>
        <v>1646.02</v>
      </c>
    </row>
    <row r="546" spans="1:9" s="83" customFormat="1" ht="71.25">
      <c r="A546" s="35"/>
      <c r="B546" s="85" t="s">
        <v>851</v>
      </c>
      <c r="C546" s="36" t="s">
        <v>852</v>
      </c>
      <c r="D546" s="107" t="s">
        <v>148</v>
      </c>
      <c r="E546" s="27">
        <v>1</v>
      </c>
      <c r="F546" s="27">
        <f>G559</f>
        <v>638.89</v>
      </c>
      <c r="G546" s="27">
        <f aca="true" t="shared" si="24" ref="G546:G558">TRUNC(E546*F546,2)</f>
        <v>638.89</v>
      </c>
      <c r="H546" s="27"/>
      <c r="I546" s="27"/>
    </row>
    <row r="547" spans="1:9" s="83" customFormat="1" ht="14.25">
      <c r="A547" s="35"/>
      <c r="B547" s="85" t="s">
        <v>1</v>
      </c>
      <c r="C547" s="36" t="s">
        <v>589</v>
      </c>
      <c r="D547" s="107" t="s">
        <v>148</v>
      </c>
      <c r="E547" s="27">
        <v>4</v>
      </c>
      <c r="F547" s="27">
        <f>TRUNC(1.21,2)</f>
        <v>1.21</v>
      </c>
      <c r="G547" s="27">
        <f t="shared" si="24"/>
        <v>4.84</v>
      </c>
      <c r="H547" s="27"/>
      <c r="I547" s="27"/>
    </row>
    <row r="548" spans="1:9" s="83" customFormat="1" ht="14.25">
      <c r="A548" s="35"/>
      <c r="B548" s="85" t="s">
        <v>49</v>
      </c>
      <c r="C548" s="36" t="s">
        <v>590</v>
      </c>
      <c r="D548" s="107" t="s">
        <v>148</v>
      </c>
      <c r="E548" s="27">
        <v>1</v>
      </c>
      <c r="F548" s="27">
        <f>TRUNC(0.55,2)</f>
        <v>0.55</v>
      </c>
      <c r="G548" s="27">
        <f t="shared" si="24"/>
        <v>0.55</v>
      </c>
      <c r="H548" s="27"/>
      <c r="I548" s="27"/>
    </row>
    <row r="549" spans="1:9" s="83" customFormat="1" ht="14.25">
      <c r="A549" s="35"/>
      <c r="B549" s="85" t="s">
        <v>40</v>
      </c>
      <c r="C549" s="36" t="s">
        <v>591</v>
      </c>
      <c r="D549" s="107" t="s">
        <v>148</v>
      </c>
      <c r="E549" s="27">
        <v>1</v>
      </c>
      <c r="F549" s="27">
        <f>TRUNC(0.62,2)</f>
        <v>0.62</v>
      </c>
      <c r="G549" s="27">
        <f t="shared" si="24"/>
        <v>0.62</v>
      </c>
      <c r="H549" s="27"/>
      <c r="I549" s="27"/>
    </row>
    <row r="550" spans="1:9" s="83" customFormat="1" ht="14.25">
      <c r="A550" s="35"/>
      <c r="B550" s="85" t="s">
        <v>39</v>
      </c>
      <c r="C550" s="36" t="s">
        <v>592</v>
      </c>
      <c r="D550" s="107" t="s">
        <v>148</v>
      </c>
      <c r="E550" s="27">
        <v>3</v>
      </c>
      <c r="F550" s="27">
        <f>TRUNC(0.41,2)</f>
        <v>0.41</v>
      </c>
      <c r="G550" s="27">
        <f t="shared" si="24"/>
        <v>1.23</v>
      </c>
      <c r="H550" s="27"/>
      <c r="I550" s="27"/>
    </row>
    <row r="551" spans="1:9" s="83" customFormat="1" ht="14.25">
      <c r="A551" s="35"/>
      <c r="B551" s="85" t="s">
        <v>853</v>
      </c>
      <c r="C551" s="36" t="s">
        <v>854</v>
      </c>
      <c r="D551" s="107" t="s">
        <v>148</v>
      </c>
      <c r="E551" s="27">
        <v>1</v>
      </c>
      <c r="F551" s="27">
        <f>TRUNC(8.09,2)</f>
        <v>8.09</v>
      </c>
      <c r="G551" s="27">
        <f t="shared" si="24"/>
        <v>8.09</v>
      </c>
      <c r="H551" s="27"/>
      <c r="I551" s="27"/>
    </row>
    <row r="552" spans="1:9" s="83" customFormat="1" ht="28.5">
      <c r="A552" s="35"/>
      <c r="B552" s="85" t="s">
        <v>34</v>
      </c>
      <c r="C552" s="36" t="s">
        <v>581</v>
      </c>
      <c r="D552" s="107" t="s">
        <v>148</v>
      </c>
      <c r="E552" s="27">
        <v>7</v>
      </c>
      <c r="F552" s="27">
        <f>TRUNC(4.41,2)</f>
        <v>4.41</v>
      </c>
      <c r="G552" s="27">
        <f t="shared" si="24"/>
        <v>30.87</v>
      </c>
      <c r="H552" s="27"/>
      <c r="I552" s="27"/>
    </row>
    <row r="553" spans="1:9" s="83" customFormat="1" ht="14.25">
      <c r="A553" s="35"/>
      <c r="B553" s="85" t="s">
        <v>33</v>
      </c>
      <c r="C553" s="36" t="s">
        <v>257</v>
      </c>
      <c r="D553" s="107" t="s">
        <v>141</v>
      </c>
      <c r="E553" s="27">
        <v>50</v>
      </c>
      <c r="F553" s="27">
        <f>TRUNC(0.9406,2)</f>
        <v>0.94</v>
      </c>
      <c r="G553" s="27">
        <f t="shared" si="24"/>
        <v>47</v>
      </c>
      <c r="H553" s="27"/>
      <c r="I553" s="27"/>
    </row>
    <row r="554" spans="1:9" s="83" customFormat="1" ht="14.25">
      <c r="A554" s="35"/>
      <c r="B554" s="85" t="s">
        <v>23</v>
      </c>
      <c r="C554" s="36" t="s">
        <v>593</v>
      </c>
      <c r="D554" s="107" t="s">
        <v>148</v>
      </c>
      <c r="E554" s="27">
        <v>18</v>
      </c>
      <c r="F554" s="27">
        <f>TRUNC(0.71,2)</f>
        <v>0.71</v>
      </c>
      <c r="G554" s="27">
        <f t="shared" si="24"/>
        <v>12.78</v>
      </c>
      <c r="H554" s="27"/>
      <c r="I554" s="27"/>
    </row>
    <row r="555" spans="1:9" s="83" customFormat="1" ht="28.5">
      <c r="A555" s="35"/>
      <c r="B555" s="85" t="s">
        <v>386</v>
      </c>
      <c r="C555" s="36" t="s">
        <v>387</v>
      </c>
      <c r="D555" s="107" t="s">
        <v>45</v>
      </c>
      <c r="E555" s="27">
        <v>11.33</v>
      </c>
      <c r="F555" s="27">
        <f>TRUNC(13.08,2)</f>
        <v>13.08</v>
      </c>
      <c r="G555" s="27">
        <f t="shared" si="24"/>
        <v>148.19</v>
      </c>
      <c r="H555" s="27"/>
      <c r="I555" s="27"/>
    </row>
    <row r="556" spans="1:9" s="83" customFormat="1" ht="14.25">
      <c r="A556" s="35"/>
      <c r="B556" s="85" t="s">
        <v>392</v>
      </c>
      <c r="C556" s="36" t="s">
        <v>393</v>
      </c>
      <c r="D556" s="107" t="s">
        <v>45</v>
      </c>
      <c r="E556" s="27">
        <v>10.815</v>
      </c>
      <c r="F556" s="27">
        <f>TRUNC(18.05,2)</f>
        <v>18.05</v>
      </c>
      <c r="G556" s="27">
        <f t="shared" si="24"/>
        <v>195.21</v>
      </c>
      <c r="H556" s="27"/>
      <c r="I556" s="27"/>
    </row>
    <row r="557" spans="1:9" s="83" customFormat="1" ht="28.5">
      <c r="A557" s="35"/>
      <c r="B557" s="85" t="s">
        <v>410</v>
      </c>
      <c r="C557" s="36" t="s">
        <v>411</v>
      </c>
      <c r="D557" s="107" t="s">
        <v>45</v>
      </c>
      <c r="E557" s="27">
        <v>9.27</v>
      </c>
      <c r="F557" s="27">
        <f>TRUNC(18.05,2)</f>
        <v>18.05</v>
      </c>
      <c r="G557" s="27">
        <f t="shared" si="24"/>
        <v>167.32</v>
      </c>
      <c r="H557" s="27"/>
      <c r="I557" s="27"/>
    </row>
    <row r="558" spans="1:9" s="83" customFormat="1" ht="14.25">
      <c r="A558" s="35"/>
      <c r="B558" s="85" t="s">
        <v>394</v>
      </c>
      <c r="C558" s="36" t="s">
        <v>395</v>
      </c>
      <c r="D558" s="107" t="s">
        <v>43</v>
      </c>
      <c r="E558" s="27">
        <v>0.105</v>
      </c>
      <c r="F558" s="27">
        <f>TRUNC(211.3936,2)</f>
        <v>211.39</v>
      </c>
      <c r="G558" s="27">
        <f t="shared" si="24"/>
        <v>22.19</v>
      </c>
      <c r="H558" s="27"/>
      <c r="I558" s="27"/>
    </row>
    <row r="559" spans="1:9" s="83" customFormat="1" ht="14.25">
      <c r="A559" s="35"/>
      <c r="B559" s="85"/>
      <c r="C559" s="36"/>
      <c r="D559" s="107"/>
      <c r="E559" s="27" t="s">
        <v>150</v>
      </c>
      <c r="F559" s="27"/>
      <c r="G559" s="27">
        <f>TRUNC(SUM(G547:G558),2)</f>
        <v>638.89</v>
      </c>
      <c r="H559" s="27"/>
      <c r="I559" s="27"/>
    </row>
    <row r="560" spans="1:9" s="188" customFormat="1" ht="71.25">
      <c r="A560" s="253" t="s">
        <v>123</v>
      </c>
      <c r="B560" s="254" t="s">
        <v>611</v>
      </c>
      <c r="C560" s="260" t="s">
        <v>613</v>
      </c>
      <c r="D560" s="253" t="s">
        <v>148</v>
      </c>
      <c r="E560" s="309">
        <v>19</v>
      </c>
      <c r="F560" s="258">
        <f>F561</f>
        <v>236.81</v>
      </c>
      <c r="G560" s="257">
        <f>TRUNC(F560*1.2882,2)</f>
        <v>305.05</v>
      </c>
      <c r="H560" s="257">
        <f>TRUNC(F560*E560,2)</f>
        <v>4499.39</v>
      </c>
      <c r="I560" s="258">
        <f>TRUNC(E560*G560,2)</f>
        <v>5795.95</v>
      </c>
    </row>
    <row r="561" spans="1:9" ht="71.25">
      <c r="A561" s="164"/>
      <c r="B561" s="192" t="s">
        <v>611</v>
      </c>
      <c r="C561" s="174" t="s">
        <v>612</v>
      </c>
      <c r="D561" s="164" t="s">
        <v>148</v>
      </c>
      <c r="E561" s="193">
        <v>1</v>
      </c>
      <c r="F561" s="166">
        <f>G573</f>
        <v>236.81</v>
      </c>
      <c r="G561" s="165">
        <f aca="true" t="shared" si="25" ref="G561:G572">TRUNC(E561*F561,2)</f>
        <v>236.81</v>
      </c>
      <c r="H561" s="165"/>
      <c r="I561" s="166"/>
    </row>
    <row r="562" spans="1:9" ht="14.25">
      <c r="A562" s="164"/>
      <c r="B562" s="192" t="s">
        <v>49</v>
      </c>
      <c r="C562" s="174" t="s">
        <v>590</v>
      </c>
      <c r="D562" s="164" t="s">
        <v>148</v>
      </c>
      <c r="E562" s="193">
        <v>1</v>
      </c>
      <c r="F562" s="166">
        <f>TRUNC(0.55,2)</f>
        <v>0.55</v>
      </c>
      <c r="G562" s="165">
        <f t="shared" si="25"/>
        <v>0.55</v>
      </c>
      <c r="H562" s="165"/>
      <c r="I562" s="166"/>
    </row>
    <row r="563" spans="1:9" ht="14.25">
      <c r="A563" s="164"/>
      <c r="B563" s="192" t="s">
        <v>40</v>
      </c>
      <c r="C563" s="174" t="s">
        <v>591</v>
      </c>
      <c r="D563" s="164" t="s">
        <v>148</v>
      </c>
      <c r="E563" s="193">
        <v>1</v>
      </c>
      <c r="F563" s="166">
        <f>TRUNC(0.62,2)</f>
        <v>0.62</v>
      </c>
      <c r="G563" s="165">
        <f t="shared" si="25"/>
        <v>0.62</v>
      </c>
      <c r="H563" s="165"/>
      <c r="I563" s="166"/>
    </row>
    <row r="564" spans="1:9" ht="14.25">
      <c r="A564" s="164"/>
      <c r="B564" s="192" t="s">
        <v>39</v>
      </c>
      <c r="C564" s="174" t="s">
        <v>592</v>
      </c>
      <c r="D564" s="164" t="s">
        <v>148</v>
      </c>
      <c r="E564" s="193">
        <v>1</v>
      </c>
      <c r="F564" s="166">
        <f>TRUNC(0.41,2)</f>
        <v>0.41</v>
      </c>
      <c r="G564" s="165">
        <f t="shared" si="25"/>
        <v>0.41</v>
      </c>
      <c r="H564" s="165"/>
      <c r="I564" s="166"/>
    </row>
    <row r="565" spans="1:9" ht="14.25">
      <c r="A565" s="164"/>
      <c r="B565" s="192" t="s">
        <v>72</v>
      </c>
      <c r="C565" s="174" t="s">
        <v>594</v>
      </c>
      <c r="D565" s="164" t="s">
        <v>148</v>
      </c>
      <c r="E565" s="193">
        <v>1</v>
      </c>
      <c r="F565" s="166">
        <f>TRUNC(5.38,2)</f>
        <v>5.38</v>
      </c>
      <c r="G565" s="165">
        <f t="shared" si="25"/>
        <v>5.38</v>
      </c>
      <c r="H565" s="165"/>
      <c r="I565" s="166"/>
    </row>
    <row r="566" spans="1:9" ht="28.5">
      <c r="A566" s="164"/>
      <c r="B566" s="192" t="s">
        <v>34</v>
      </c>
      <c r="C566" s="174" t="s">
        <v>581</v>
      </c>
      <c r="D566" s="164" t="s">
        <v>148</v>
      </c>
      <c r="E566" s="193">
        <v>2</v>
      </c>
      <c r="F566" s="166">
        <f>TRUNC(4.41,2)</f>
        <v>4.41</v>
      </c>
      <c r="G566" s="165">
        <f t="shared" si="25"/>
        <v>8.82</v>
      </c>
      <c r="H566" s="165"/>
      <c r="I566" s="166"/>
    </row>
    <row r="567" spans="1:9" ht="14.25">
      <c r="A567" s="164"/>
      <c r="B567" s="192" t="s">
        <v>33</v>
      </c>
      <c r="C567" s="174" t="s">
        <v>257</v>
      </c>
      <c r="D567" s="164" t="s">
        <v>141</v>
      </c>
      <c r="E567" s="193">
        <v>18</v>
      </c>
      <c r="F567" s="166">
        <f>TRUNC(0.9406,2)</f>
        <v>0.94</v>
      </c>
      <c r="G567" s="165">
        <f t="shared" si="25"/>
        <v>16.92</v>
      </c>
      <c r="H567" s="165"/>
      <c r="I567" s="166"/>
    </row>
    <row r="568" spans="1:9" ht="14.25">
      <c r="A568" s="164"/>
      <c r="B568" s="192" t="s">
        <v>23</v>
      </c>
      <c r="C568" s="174" t="s">
        <v>593</v>
      </c>
      <c r="D568" s="164" t="s">
        <v>148</v>
      </c>
      <c r="E568" s="193">
        <v>4</v>
      </c>
      <c r="F568" s="166">
        <f>TRUNC(0.71,2)</f>
        <v>0.71</v>
      </c>
      <c r="G568" s="165">
        <f t="shared" si="25"/>
        <v>2.84</v>
      </c>
      <c r="H568" s="165"/>
      <c r="I568" s="166"/>
    </row>
    <row r="569" spans="1:9" ht="28.5">
      <c r="A569" s="164"/>
      <c r="B569" s="192" t="s">
        <v>386</v>
      </c>
      <c r="C569" s="174" t="s">
        <v>387</v>
      </c>
      <c r="D569" s="164" t="s">
        <v>45</v>
      </c>
      <c r="E569" s="193">
        <v>5.665</v>
      </c>
      <c r="F569" s="166">
        <f>TRUNC(13.08,2)</f>
        <v>13.08</v>
      </c>
      <c r="G569" s="165">
        <f t="shared" si="25"/>
        <v>74.09</v>
      </c>
      <c r="H569" s="165"/>
      <c r="I569" s="166"/>
    </row>
    <row r="570" spans="1:9" ht="14.25">
      <c r="A570" s="164"/>
      <c r="B570" s="192" t="s">
        <v>392</v>
      </c>
      <c r="C570" s="174" t="s">
        <v>393</v>
      </c>
      <c r="D570" s="164" t="s">
        <v>45</v>
      </c>
      <c r="E570" s="193">
        <v>3.09</v>
      </c>
      <c r="F570" s="166">
        <f>TRUNC(18.05,2)</f>
        <v>18.05</v>
      </c>
      <c r="G570" s="165">
        <f t="shared" si="25"/>
        <v>55.77</v>
      </c>
      <c r="H570" s="165"/>
      <c r="I570" s="166"/>
    </row>
    <row r="571" spans="1:9" ht="28.5">
      <c r="A571" s="164"/>
      <c r="B571" s="192" t="s">
        <v>410</v>
      </c>
      <c r="C571" s="174" t="s">
        <v>411</v>
      </c>
      <c r="D571" s="164" t="s">
        <v>45</v>
      </c>
      <c r="E571" s="193">
        <v>3.605</v>
      </c>
      <c r="F571" s="166">
        <f>TRUNC(18.05,2)</f>
        <v>18.05</v>
      </c>
      <c r="G571" s="165">
        <f t="shared" si="25"/>
        <v>65.07</v>
      </c>
      <c r="H571" s="165"/>
      <c r="I571" s="166"/>
    </row>
    <row r="572" spans="1:9" ht="14.25">
      <c r="A572" s="164"/>
      <c r="B572" s="192" t="s">
        <v>394</v>
      </c>
      <c r="C572" s="174" t="s">
        <v>395</v>
      </c>
      <c r="D572" s="164" t="s">
        <v>43</v>
      </c>
      <c r="E572" s="193">
        <v>0.03</v>
      </c>
      <c r="F572" s="166">
        <f>TRUNC(211.3936,2)</f>
        <v>211.39</v>
      </c>
      <c r="G572" s="165">
        <f t="shared" si="25"/>
        <v>6.34</v>
      </c>
      <c r="H572" s="165"/>
      <c r="I572" s="166"/>
    </row>
    <row r="573" spans="1:9" ht="14.25">
      <c r="A573" s="164"/>
      <c r="B573" s="192"/>
      <c r="C573" s="174"/>
      <c r="D573" s="164"/>
      <c r="E573" s="193" t="s">
        <v>150</v>
      </c>
      <c r="F573" s="166"/>
      <c r="G573" s="165">
        <f>TRUNC(SUM(G562:G572),2)</f>
        <v>236.81</v>
      </c>
      <c r="H573" s="165"/>
      <c r="I573" s="166"/>
    </row>
    <row r="574" spans="1:9" s="188" customFormat="1" ht="71.25">
      <c r="A574" s="253" t="s">
        <v>124</v>
      </c>
      <c r="B574" s="254" t="s">
        <v>855</v>
      </c>
      <c r="C574" s="260" t="s">
        <v>856</v>
      </c>
      <c r="D574" s="380" t="s">
        <v>148</v>
      </c>
      <c r="E574" s="258">
        <v>6</v>
      </c>
      <c r="F574" s="258">
        <f>F575</f>
        <v>315.75</v>
      </c>
      <c r="G574" s="257">
        <f>TRUNC(F574*1.2882,2)</f>
        <v>406.74</v>
      </c>
      <c r="H574" s="257">
        <f>TRUNC(F574*E574,2)</f>
        <v>1894.5</v>
      </c>
      <c r="I574" s="258">
        <f>TRUNC(E574*G574,2)</f>
        <v>2440.44</v>
      </c>
    </row>
    <row r="575" spans="1:9" s="83" customFormat="1" ht="71.25">
      <c r="A575" s="35"/>
      <c r="B575" s="85" t="s">
        <v>855</v>
      </c>
      <c r="C575" s="36" t="s">
        <v>856</v>
      </c>
      <c r="D575" s="107" t="s">
        <v>148</v>
      </c>
      <c r="E575" s="27">
        <v>1</v>
      </c>
      <c r="F575" s="27">
        <f>G587</f>
        <v>315.75</v>
      </c>
      <c r="G575" s="27">
        <f aca="true" t="shared" si="26" ref="G575:G586">TRUNC(E575*F575,2)</f>
        <v>315.75</v>
      </c>
      <c r="H575" s="27"/>
      <c r="I575" s="27"/>
    </row>
    <row r="576" spans="1:9" s="83" customFormat="1" ht="14.25">
      <c r="A576" s="35"/>
      <c r="B576" s="85" t="s">
        <v>49</v>
      </c>
      <c r="C576" s="36" t="s">
        <v>590</v>
      </c>
      <c r="D576" s="107" t="s">
        <v>148</v>
      </c>
      <c r="E576" s="27">
        <v>1</v>
      </c>
      <c r="F576" s="27">
        <f>TRUNC(0.55,2)</f>
        <v>0.55</v>
      </c>
      <c r="G576" s="27">
        <f t="shared" si="26"/>
        <v>0.55</v>
      </c>
      <c r="H576" s="27"/>
      <c r="I576" s="27"/>
    </row>
    <row r="577" spans="1:9" s="83" customFormat="1" ht="14.25">
      <c r="A577" s="35"/>
      <c r="B577" s="85" t="s">
        <v>40</v>
      </c>
      <c r="C577" s="36" t="s">
        <v>591</v>
      </c>
      <c r="D577" s="107" t="s">
        <v>148</v>
      </c>
      <c r="E577" s="27">
        <v>1</v>
      </c>
      <c r="F577" s="27">
        <f>TRUNC(0.62,2)</f>
        <v>0.62</v>
      </c>
      <c r="G577" s="27">
        <f t="shared" si="26"/>
        <v>0.62</v>
      </c>
      <c r="H577" s="27"/>
      <c r="I577" s="27"/>
    </row>
    <row r="578" spans="1:9" s="83" customFormat="1" ht="14.25">
      <c r="A578" s="35"/>
      <c r="B578" s="85" t="s">
        <v>39</v>
      </c>
      <c r="C578" s="36" t="s">
        <v>592</v>
      </c>
      <c r="D578" s="107" t="s">
        <v>148</v>
      </c>
      <c r="E578" s="27">
        <v>1</v>
      </c>
      <c r="F578" s="27">
        <f>TRUNC(0.41,2)</f>
        <v>0.41</v>
      </c>
      <c r="G578" s="27">
        <f t="shared" si="26"/>
        <v>0.41</v>
      </c>
      <c r="H578" s="27"/>
      <c r="I578" s="27"/>
    </row>
    <row r="579" spans="1:9" s="83" customFormat="1" ht="14.25">
      <c r="A579" s="35"/>
      <c r="B579" s="85" t="s">
        <v>72</v>
      </c>
      <c r="C579" s="36" t="s">
        <v>594</v>
      </c>
      <c r="D579" s="107" t="s">
        <v>148</v>
      </c>
      <c r="E579" s="27">
        <v>2</v>
      </c>
      <c r="F579" s="27">
        <f>TRUNC(5.38,2)</f>
        <v>5.38</v>
      </c>
      <c r="G579" s="27">
        <f t="shared" si="26"/>
        <v>10.76</v>
      </c>
      <c r="H579" s="27"/>
      <c r="I579" s="27"/>
    </row>
    <row r="580" spans="1:9" s="83" customFormat="1" ht="28.5">
      <c r="A580" s="35"/>
      <c r="B580" s="85" t="s">
        <v>34</v>
      </c>
      <c r="C580" s="36" t="s">
        <v>581</v>
      </c>
      <c r="D580" s="107" t="s">
        <v>148</v>
      </c>
      <c r="E580" s="27">
        <v>3</v>
      </c>
      <c r="F580" s="27">
        <f>TRUNC(4.41,2)</f>
        <v>4.41</v>
      </c>
      <c r="G580" s="27">
        <f t="shared" si="26"/>
        <v>13.23</v>
      </c>
      <c r="H580" s="27"/>
      <c r="I580" s="27"/>
    </row>
    <row r="581" spans="1:9" s="83" customFormat="1" ht="14.25">
      <c r="A581" s="35"/>
      <c r="B581" s="85" t="s">
        <v>33</v>
      </c>
      <c r="C581" s="36" t="s">
        <v>257</v>
      </c>
      <c r="D581" s="107" t="s">
        <v>141</v>
      </c>
      <c r="E581" s="27">
        <v>27</v>
      </c>
      <c r="F581" s="27">
        <f>TRUNC(0.9406,2)</f>
        <v>0.94</v>
      </c>
      <c r="G581" s="27">
        <f t="shared" si="26"/>
        <v>25.38</v>
      </c>
      <c r="H581" s="27"/>
      <c r="I581" s="27"/>
    </row>
    <row r="582" spans="1:9" s="83" customFormat="1" ht="14.25">
      <c r="A582" s="35"/>
      <c r="B582" s="85" t="s">
        <v>23</v>
      </c>
      <c r="C582" s="36" t="s">
        <v>593</v>
      </c>
      <c r="D582" s="107" t="s">
        <v>148</v>
      </c>
      <c r="E582" s="27">
        <v>4</v>
      </c>
      <c r="F582" s="27">
        <f>TRUNC(0.71,2)</f>
        <v>0.71</v>
      </c>
      <c r="G582" s="27">
        <f t="shared" si="26"/>
        <v>2.84</v>
      </c>
      <c r="H582" s="27"/>
      <c r="I582" s="27"/>
    </row>
    <row r="583" spans="1:9" s="83" customFormat="1" ht="28.5">
      <c r="A583" s="35"/>
      <c r="B583" s="85" t="s">
        <v>386</v>
      </c>
      <c r="C583" s="36" t="s">
        <v>387</v>
      </c>
      <c r="D583" s="107" t="s">
        <v>45</v>
      </c>
      <c r="E583" s="27">
        <v>6.695</v>
      </c>
      <c r="F583" s="27">
        <f>TRUNC(13.08,2)</f>
        <v>13.08</v>
      </c>
      <c r="G583" s="27">
        <f t="shared" si="26"/>
        <v>87.57</v>
      </c>
      <c r="H583" s="27"/>
      <c r="I583" s="27"/>
    </row>
    <row r="584" spans="1:9" s="83" customFormat="1" ht="14.25">
      <c r="A584" s="35"/>
      <c r="B584" s="85" t="s">
        <v>392</v>
      </c>
      <c r="C584" s="36" t="s">
        <v>393</v>
      </c>
      <c r="D584" s="107" t="s">
        <v>45</v>
      </c>
      <c r="E584" s="27">
        <v>4.5</v>
      </c>
      <c r="F584" s="27">
        <f>TRUNC(18.05,2)</f>
        <v>18.05</v>
      </c>
      <c r="G584" s="27">
        <f t="shared" si="26"/>
        <v>81.22</v>
      </c>
      <c r="H584" s="27"/>
      <c r="I584" s="27"/>
    </row>
    <row r="585" spans="1:9" s="83" customFormat="1" ht="28.5">
      <c r="A585" s="35"/>
      <c r="B585" s="85" t="s">
        <v>410</v>
      </c>
      <c r="C585" s="36" t="s">
        <v>411</v>
      </c>
      <c r="D585" s="107" t="s">
        <v>45</v>
      </c>
      <c r="E585" s="27">
        <v>4.635</v>
      </c>
      <c r="F585" s="27">
        <f>TRUNC(18.05,2)</f>
        <v>18.05</v>
      </c>
      <c r="G585" s="27">
        <f t="shared" si="26"/>
        <v>83.66</v>
      </c>
      <c r="H585" s="27"/>
      <c r="I585" s="27"/>
    </row>
    <row r="586" spans="1:9" s="83" customFormat="1" ht="14.25">
      <c r="A586" s="35"/>
      <c r="B586" s="85" t="s">
        <v>394</v>
      </c>
      <c r="C586" s="36" t="s">
        <v>395</v>
      </c>
      <c r="D586" s="107" t="s">
        <v>43</v>
      </c>
      <c r="E586" s="27">
        <v>0.045</v>
      </c>
      <c r="F586" s="27">
        <f>TRUNC(211.3936,2)</f>
        <v>211.39</v>
      </c>
      <c r="G586" s="27">
        <f t="shared" si="26"/>
        <v>9.51</v>
      </c>
      <c r="H586" s="27"/>
      <c r="I586" s="27"/>
    </row>
    <row r="587" spans="1:9" s="83" customFormat="1" ht="14.25">
      <c r="A587" s="35"/>
      <c r="B587" s="85"/>
      <c r="C587" s="36"/>
      <c r="D587" s="107"/>
      <c r="E587" s="27" t="s">
        <v>150</v>
      </c>
      <c r="F587" s="27"/>
      <c r="G587" s="27">
        <f>TRUNC(SUM(G576:G586),2)</f>
        <v>315.75</v>
      </c>
      <c r="H587" s="27"/>
      <c r="I587" s="27"/>
    </row>
    <row r="588" spans="1:9" s="188" customFormat="1" ht="71.25">
      <c r="A588" s="253" t="s">
        <v>125</v>
      </c>
      <c r="B588" s="254" t="s">
        <v>857</v>
      </c>
      <c r="C588" s="260" t="s">
        <v>858</v>
      </c>
      <c r="D588" s="380" t="s">
        <v>148</v>
      </c>
      <c r="E588" s="258">
        <v>9</v>
      </c>
      <c r="F588" s="258">
        <f>F589</f>
        <v>407.27</v>
      </c>
      <c r="G588" s="257">
        <f>TRUNC(F588*1.2882,2)</f>
        <v>524.64</v>
      </c>
      <c r="H588" s="257">
        <f>TRUNC(F588*E588,2)</f>
        <v>3665.43</v>
      </c>
      <c r="I588" s="258">
        <f>TRUNC(E588*G588,2)</f>
        <v>4721.76</v>
      </c>
    </row>
    <row r="589" spans="1:9" s="83" customFormat="1" ht="71.25">
      <c r="A589" s="35"/>
      <c r="B589" s="85" t="s">
        <v>857</v>
      </c>
      <c r="C589" s="36" t="s">
        <v>858</v>
      </c>
      <c r="D589" s="107" t="s">
        <v>148</v>
      </c>
      <c r="E589" s="27">
        <v>1</v>
      </c>
      <c r="F589" s="27">
        <f>G601</f>
        <v>407.27</v>
      </c>
      <c r="G589" s="27">
        <f aca="true" t="shared" si="27" ref="G589:G600">TRUNC(E589*F589,2)</f>
        <v>407.27</v>
      </c>
      <c r="H589" s="27"/>
      <c r="I589" s="27"/>
    </row>
    <row r="590" spans="1:9" s="83" customFormat="1" ht="14.25">
      <c r="A590" s="35"/>
      <c r="B590" s="85" t="s">
        <v>49</v>
      </c>
      <c r="C590" s="36" t="s">
        <v>590</v>
      </c>
      <c r="D590" s="107" t="s">
        <v>148</v>
      </c>
      <c r="E590" s="27">
        <v>3</v>
      </c>
      <c r="F590" s="27">
        <f>TRUNC(0.55,2)</f>
        <v>0.55</v>
      </c>
      <c r="G590" s="27">
        <f t="shared" si="27"/>
        <v>1.65</v>
      </c>
      <c r="H590" s="27"/>
      <c r="I590" s="27"/>
    </row>
    <row r="591" spans="1:9" s="83" customFormat="1" ht="14.25">
      <c r="A591" s="35"/>
      <c r="B591" s="85" t="s">
        <v>40</v>
      </c>
      <c r="C591" s="36" t="s">
        <v>591</v>
      </c>
      <c r="D591" s="107" t="s">
        <v>148</v>
      </c>
      <c r="E591" s="27">
        <v>1</v>
      </c>
      <c r="F591" s="27">
        <f>TRUNC(0.62,2)</f>
        <v>0.62</v>
      </c>
      <c r="G591" s="27">
        <f t="shared" si="27"/>
        <v>0.62</v>
      </c>
      <c r="H591" s="27"/>
      <c r="I591" s="27"/>
    </row>
    <row r="592" spans="1:9" s="83" customFormat="1" ht="14.25">
      <c r="A592" s="35"/>
      <c r="B592" s="85" t="s">
        <v>39</v>
      </c>
      <c r="C592" s="36" t="s">
        <v>592</v>
      </c>
      <c r="D592" s="107" t="s">
        <v>148</v>
      </c>
      <c r="E592" s="27">
        <v>1</v>
      </c>
      <c r="F592" s="27">
        <f>TRUNC(0.41,2)</f>
        <v>0.41</v>
      </c>
      <c r="G592" s="27">
        <f t="shared" si="27"/>
        <v>0.41</v>
      </c>
      <c r="H592" s="27"/>
      <c r="I592" s="27"/>
    </row>
    <row r="593" spans="1:9" s="83" customFormat="1" ht="14.25">
      <c r="A593" s="35"/>
      <c r="B593" s="85" t="s">
        <v>72</v>
      </c>
      <c r="C593" s="36" t="s">
        <v>594</v>
      </c>
      <c r="D593" s="107" t="s">
        <v>148</v>
      </c>
      <c r="E593" s="27">
        <v>3</v>
      </c>
      <c r="F593" s="27">
        <f>TRUNC(5.38,2)</f>
        <v>5.38</v>
      </c>
      <c r="G593" s="27">
        <f t="shared" si="27"/>
        <v>16.14</v>
      </c>
      <c r="H593" s="27"/>
      <c r="I593" s="27"/>
    </row>
    <row r="594" spans="1:9" s="83" customFormat="1" ht="28.5">
      <c r="A594" s="35"/>
      <c r="B594" s="85" t="s">
        <v>34</v>
      </c>
      <c r="C594" s="36" t="s">
        <v>581</v>
      </c>
      <c r="D594" s="107" t="s">
        <v>148</v>
      </c>
      <c r="E594" s="27">
        <v>4</v>
      </c>
      <c r="F594" s="27">
        <f>TRUNC(4.41,2)</f>
        <v>4.41</v>
      </c>
      <c r="G594" s="27">
        <f t="shared" si="27"/>
        <v>17.64</v>
      </c>
      <c r="H594" s="27"/>
      <c r="I594" s="27"/>
    </row>
    <row r="595" spans="1:9" s="83" customFormat="1" ht="14.25">
      <c r="A595" s="35"/>
      <c r="B595" s="85" t="s">
        <v>33</v>
      </c>
      <c r="C595" s="36" t="s">
        <v>257</v>
      </c>
      <c r="D595" s="107" t="s">
        <v>141</v>
      </c>
      <c r="E595" s="27">
        <v>37</v>
      </c>
      <c r="F595" s="27">
        <f>TRUNC(0.9406,2)</f>
        <v>0.94</v>
      </c>
      <c r="G595" s="27">
        <f t="shared" si="27"/>
        <v>34.78</v>
      </c>
      <c r="H595" s="27"/>
      <c r="I595" s="27"/>
    </row>
    <row r="596" spans="1:9" s="83" customFormat="1" ht="14.25">
      <c r="A596" s="35"/>
      <c r="B596" s="85" t="s">
        <v>23</v>
      </c>
      <c r="C596" s="36" t="s">
        <v>593</v>
      </c>
      <c r="D596" s="107" t="s">
        <v>148</v>
      </c>
      <c r="E596" s="27">
        <v>12</v>
      </c>
      <c r="F596" s="27">
        <f>TRUNC(0.71,2)</f>
        <v>0.71</v>
      </c>
      <c r="G596" s="27">
        <f t="shared" si="27"/>
        <v>8.52</v>
      </c>
      <c r="H596" s="27"/>
      <c r="I596" s="27"/>
    </row>
    <row r="597" spans="1:9" s="83" customFormat="1" ht="28.5">
      <c r="A597" s="35"/>
      <c r="B597" s="85" t="s">
        <v>386</v>
      </c>
      <c r="C597" s="36" t="s">
        <v>387</v>
      </c>
      <c r="D597" s="107" t="s">
        <v>45</v>
      </c>
      <c r="E597" s="27">
        <v>7.7250000000000005</v>
      </c>
      <c r="F597" s="27">
        <f>TRUNC(13.08,2)</f>
        <v>13.08</v>
      </c>
      <c r="G597" s="27">
        <f t="shared" si="27"/>
        <v>101.04</v>
      </c>
      <c r="H597" s="27"/>
      <c r="I597" s="27"/>
    </row>
    <row r="598" spans="1:9" s="83" customFormat="1" ht="14.25">
      <c r="A598" s="35"/>
      <c r="B598" s="85" t="s">
        <v>392</v>
      </c>
      <c r="C598" s="36" t="s">
        <v>393</v>
      </c>
      <c r="D598" s="107" t="s">
        <v>45</v>
      </c>
      <c r="E598" s="27">
        <v>6.18</v>
      </c>
      <c r="F598" s="27">
        <f>TRUNC(18.05,2)</f>
        <v>18.05</v>
      </c>
      <c r="G598" s="27">
        <f t="shared" si="27"/>
        <v>111.54</v>
      </c>
      <c r="H598" s="27"/>
      <c r="I598" s="27"/>
    </row>
    <row r="599" spans="1:9" s="83" customFormat="1" ht="28.5">
      <c r="A599" s="35"/>
      <c r="B599" s="85" t="s">
        <v>410</v>
      </c>
      <c r="C599" s="36" t="s">
        <v>411</v>
      </c>
      <c r="D599" s="107" t="s">
        <v>45</v>
      </c>
      <c r="E599" s="27">
        <v>5.665</v>
      </c>
      <c r="F599" s="27">
        <f>TRUNC(18.05,2)</f>
        <v>18.05</v>
      </c>
      <c r="G599" s="27">
        <f t="shared" si="27"/>
        <v>102.25</v>
      </c>
      <c r="H599" s="27"/>
      <c r="I599" s="27"/>
    </row>
    <row r="600" spans="1:9" s="83" customFormat="1" ht="14.25">
      <c r="A600" s="35"/>
      <c r="B600" s="85" t="s">
        <v>394</v>
      </c>
      <c r="C600" s="36" t="s">
        <v>395</v>
      </c>
      <c r="D600" s="107" t="s">
        <v>43</v>
      </c>
      <c r="E600" s="27">
        <v>0.06</v>
      </c>
      <c r="F600" s="27">
        <f>TRUNC(211.3936,2)</f>
        <v>211.39</v>
      </c>
      <c r="G600" s="27">
        <f t="shared" si="27"/>
        <v>12.68</v>
      </c>
      <c r="H600" s="27"/>
      <c r="I600" s="27"/>
    </row>
    <row r="601" spans="1:9" s="83" customFormat="1" ht="14.25">
      <c r="A601" s="35"/>
      <c r="B601" s="85"/>
      <c r="C601" s="36"/>
      <c r="D601" s="107"/>
      <c r="E601" s="27" t="s">
        <v>150</v>
      </c>
      <c r="F601" s="27"/>
      <c r="G601" s="27">
        <f>TRUNC(SUM(G590:G600),2)</f>
        <v>407.27</v>
      </c>
      <c r="H601" s="27"/>
      <c r="I601" s="27"/>
    </row>
    <row r="602" spans="1:9" s="188" customFormat="1" ht="71.25">
      <c r="A602" s="253" t="s">
        <v>126</v>
      </c>
      <c r="B602" s="254" t="s">
        <v>859</v>
      </c>
      <c r="C602" s="260" t="s">
        <v>860</v>
      </c>
      <c r="D602" s="380" t="s">
        <v>148</v>
      </c>
      <c r="E602" s="258">
        <v>3</v>
      </c>
      <c r="F602" s="258">
        <f>F603</f>
        <v>491.13</v>
      </c>
      <c r="G602" s="257">
        <f>TRUNC(F602*1.2882,2)</f>
        <v>632.67</v>
      </c>
      <c r="H602" s="257">
        <f>TRUNC(F602*E602,2)</f>
        <v>1473.39</v>
      </c>
      <c r="I602" s="258">
        <f>TRUNC(E602*G602,2)</f>
        <v>1898.01</v>
      </c>
    </row>
    <row r="603" spans="1:9" s="83" customFormat="1" ht="71.25">
      <c r="A603" s="35"/>
      <c r="B603" s="85" t="s">
        <v>859</v>
      </c>
      <c r="C603" s="36" t="s">
        <v>860</v>
      </c>
      <c r="D603" s="107" t="s">
        <v>148</v>
      </c>
      <c r="E603" s="27">
        <v>1</v>
      </c>
      <c r="F603" s="27">
        <f>TRUNC(491.13792,2)</f>
        <v>491.13</v>
      </c>
      <c r="G603" s="27">
        <f aca="true" t="shared" si="28" ref="G603:G614">TRUNC(E603*F603,2)</f>
        <v>491.13</v>
      </c>
      <c r="H603" s="27"/>
      <c r="I603" s="27"/>
    </row>
    <row r="604" spans="1:9" s="83" customFormat="1" ht="14.25">
      <c r="A604" s="35"/>
      <c r="B604" s="85" t="s">
        <v>49</v>
      </c>
      <c r="C604" s="36" t="s">
        <v>590</v>
      </c>
      <c r="D604" s="107" t="s">
        <v>148</v>
      </c>
      <c r="E604" s="27">
        <v>4</v>
      </c>
      <c r="F604" s="27">
        <f>TRUNC(0.55,2)</f>
        <v>0.55</v>
      </c>
      <c r="G604" s="27">
        <f t="shared" si="28"/>
        <v>2.2</v>
      </c>
      <c r="H604" s="27"/>
      <c r="I604" s="27"/>
    </row>
    <row r="605" spans="1:9" s="83" customFormat="1" ht="14.25">
      <c r="A605" s="35"/>
      <c r="B605" s="85" t="s">
        <v>40</v>
      </c>
      <c r="C605" s="36" t="s">
        <v>591</v>
      </c>
      <c r="D605" s="107" t="s">
        <v>148</v>
      </c>
      <c r="E605" s="27">
        <v>1</v>
      </c>
      <c r="F605" s="27">
        <f>TRUNC(0.62,2)</f>
        <v>0.62</v>
      </c>
      <c r="G605" s="27">
        <f t="shared" si="28"/>
        <v>0.62</v>
      </c>
      <c r="H605" s="27"/>
      <c r="I605" s="27"/>
    </row>
    <row r="606" spans="1:9" s="83" customFormat="1" ht="14.25">
      <c r="A606" s="35"/>
      <c r="B606" s="85" t="s">
        <v>39</v>
      </c>
      <c r="C606" s="36" t="s">
        <v>592</v>
      </c>
      <c r="D606" s="107" t="s">
        <v>148</v>
      </c>
      <c r="E606" s="27">
        <v>1</v>
      </c>
      <c r="F606" s="27">
        <f>TRUNC(0.41,2)</f>
        <v>0.41</v>
      </c>
      <c r="G606" s="27">
        <f t="shared" si="28"/>
        <v>0.41</v>
      </c>
      <c r="H606" s="27"/>
      <c r="I606" s="27"/>
    </row>
    <row r="607" spans="1:9" s="83" customFormat="1" ht="14.25">
      <c r="A607" s="35"/>
      <c r="B607" s="85" t="s">
        <v>72</v>
      </c>
      <c r="C607" s="36" t="s">
        <v>594</v>
      </c>
      <c r="D607" s="107" t="s">
        <v>148</v>
      </c>
      <c r="E607" s="27">
        <v>4</v>
      </c>
      <c r="F607" s="27">
        <f>TRUNC(5.38,2)</f>
        <v>5.38</v>
      </c>
      <c r="G607" s="27">
        <f t="shared" si="28"/>
        <v>21.52</v>
      </c>
      <c r="H607" s="27"/>
      <c r="I607" s="27"/>
    </row>
    <row r="608" spans="1:9" s="83" customFormat="1" ht="28.5">
      <c r="A608" s="35"/>
      <c r="B608" s="85" t="s">
        <v>34</v>
      </c>
      <c r="C608" s="36" t="s">
        <v>581</v>
      </c>
      <c r="D608" s="107" t="s">
        <v>148</v>
      </c>
      <c r="E608" s="27">
        <v>5</v>
      </c>
      <c r="F608" s="27">
        <f>TRUNC(4.41,2)</f>
        <v>4.41</v>
      </c>
      <c r="G608" s="27">
        <f t="shared" si="28"/>
        <v>22.05</v>
      </c>
      <c r="H608" s="27"/>
      <c r="I608" s="27"/>
    </row>
    <row r="609" spans="1:9" s="83" customFormat="1" ht="14.25">
      <c r="A609" s="35"/>
      <c r="B609" s="85" t="s">
        <v>33</v>
      </c>
      <c r="C609" s="36" t="s">
        <v>257</v>
      </c>
      <c r="D609" s="107" t="s">
        <v>141</v>
      </c>
      <c r="E609" s="27">
        <v>45</v>
      </c>
      <c r="F609" s="27">
        <f>TRUNC(0.9406,2)</f>
        <v>0.94</v>
      </c>
      <c r="G609" s="27">
        <f t="shared" si="28"/>
        <v>42.3</v>
      </c>
      <c r="H609" s="27"/>
      <c r="I609" s="27"/>
    </row>
    <row r="610" spans="1:9" s="83" customFormat="1" ht="14.25">
      <c r="A610" s="35"/>
      <c r="B610" s="85" t="s">
        <v>23</v>
      </c>
      <c r="C610" s="36" t="s">
        <v>593</v>
      </c>
      <c r="D610" s="107" t="s">
        <v>148</v>
      </c>
      <c r="E610" s="27">
        <v>16</v>
      </c>
      <c r="F610" s="27">
        <f>TRUNC(0.71,2)</f>
        <v>0.71</v>
      </c>
      <c r="G610" s="27">
        <f t="shared" si="28"/>
        <v>11.36</v>
      </c>
      <c r="H610" s="27"/>
      <c r="I610" s="27"/>
    </row>
    <row r="611" spans="1:9" s="83" customFormat="1" ht="28.5">
      <c r="A611" s="35"/>
      <c r="B611" s="85" t="s">
        <v>386</v>
      </c>
      <c r="C611" s="36" t="s">
        <v>387</v>
      </c>
      <c r="D611" s="107" t="s">
        <v>45</v>
      </c>
      <c r="E611" s="27">
        <v>8.755</v>
      </c>
      <c r="F611" s="27">
        <f>TRUNC(13.08,2)</f>
        <v>13.08</v>
      </c>
      <c r="G611" s="27">
        <f t="shared" si="28"/>
        <v>114.51</v>
      </c>
      <c r="H611" s="27"/>
      <c r="I611" s="27"/>
    </row>
    <row r="612" spans="1:9" s="83" customFormat="1" ht="14.25">
      <c r="A612" s="35"/>
      <c r="B612" s="85" t="s">
        <v>392</v>
      </c>
      <c r="C612" s="36" t="s">
        <v>393</v>
      </c>
      <c r="D612" s="107" t="s">
        <v>45</v>
      </c>
      <c r="E612" s="27">
        <v>7.7250000000000005</v>
      </c>
      <c r="F612" s="27">
        <f>TRUNC(18.05,2)</f>
        <v>18.05</v>
      </c>
      <c r="G612" s="27">
        <f t="shared" si="28"/>
        <v>139.43</v>
      </c>
      <c r="H612" s="27"/>
      <c r="I612" s="27"/>
    </row>
    <row r="613" spans="1:9" s="83" customFormat="1" ht="28.5">
      <c r="A613" s="35"/>
      <c r="B613" s="85" t="s">
        <v>410</v>
      </c>
      <c r="C613" s="36" t="s">
        <v>411</v>
      </c>
      <c r="D613" s="107" t="s">
        <v>45</v>
      </c>
      <c r="E613" s="27">
        <v>6.695</v>
      </c>
      <c r="F613" s="27">
        <f>TRUNC(18.05,2)</f>
        <v>18.05</v>
      </c>
      <c r="G613" s="27">
        <f t="shared" si="28"/>
        <v>120.84</v>
      </c>
      <c r="H613" s="27"/>
      <c r="I613" s="27"/>
    </row>
    <row r="614" spans="1:9" s="83" customFormat="1" ht="14.25">
      <c r="A614" s="35"/>
      <c r="B614" s="85" t="s">
        <v>394</v>
      </c>
      <c r="C614" s="36" t="s">
        <v>395</v>
      </c>
      <c r="D614" s="107" t="s">
        <v>43</v>
      </c>
      <c r="E614" s="27">
        <v>0.075</v>
      </c>
      <c r="F614" s="27">
        <f>TRUNC(211.3936,2)</f>
        <v>211.39</v>
      </c>
      <c r="G614" s="27">
        <f t="shared" si="28"/>
        <v>15.85</v>
      </c>
      <c r="H614" s="27"/>
      <c r="I614" s="27"/>
    </row>
    <row r="615" spans="1:9" s="83" customFormat="1" ht="14.25">
      <c r="A615" s="35"/>
      <c r="B615" s="85"/>
      <c r="C615" s="36"/>
      <c r="D615" s="107"/>
      <c r="E615" s="27" t="s">
        <v>150</v>
      </c>
      <c r="F615" s="27"/>
      <c r="G615" s="27">
        <f>TRUNC(SUM(G604:G614),2)</f>
        <v>491.09</v>
      </c>
      <c r="H615" s="27"/>
      <c r="I615" s="27"/>
    </row>
    <row r="616" spans="1:9" s="188" customFormat="1" ht="71.25">
      <c r="A616" s="253" t="s">
        <v>2</v>
      </c>
      <c r="B616" s="254" t="s">
        <v>880</v>
      </c>
      <c r="C616" s="260" t="s">
        <v>879</v>
      </c>
      <c r="D616" s="380" t="s">
        <v>148</v>
      </c>
      <c r="E616" s="258">
        <v>4</v>
      </c>
      <c r="F616" s="258">
        <f>F620+F617</f>
        <v>353.75</v>
      </c>
      <c r="G616" s="257">
        <f>TRUNC(F616*1.2882,2)</f>
        <v>455.7</v>
      </c>
      <c r="H616" s="257">
        <f>TRUNC(F616*E616,2)</f>
        <v>1415</v>
      </c>
      <c r="I616" s="258">
        <f>TRUNC(E616*G616,2)</f>
        <v>1822.8</v>
      </c>
    </row>
    <row r="617" spans="1:9" s="83" customFormat="1" ht="15">
      <c r="A617" s="35" t="s">
        <v>647</v>
      </c>
      <c r="B617" s="85" t="s">
        <v>863</v>
      </c>
      <c r="C617" s="36" t="s">
        <v>864</v>
      </c>
      <c r="D617" s="107" t="s">
        <v>148</v>
      </c>
      <c r="E617" s="27">
        <v>1</v>
      </c>
      <c r="F617" s="43">
        <f>G619</f>
        <v>40.53</v>
      </c>
      <c r="G617" s="26">
        <f>TRUNC(E617*F617,2)</f>
        <v>40.53</v>
      </c>
      <c r="H617" s="26"/>
      <c r="I617" s="27"/>
    </row>
    <row r="618" spans="1:9" s="83" customFormat="1" ht="14.25">
      <c r="A618" s="35"/>
      <c r="B618" s="85" t="s">
        <v>865</v>
      </c>
      <c r="C618" s="36" t="s">
        <v>866</v>
      </c>
      <c r="D618" s="107" t="s">
        <v>148</v>
      </c>
      <c r="E618" s="27">
        <v>1</v>
      </c>
      <c r="F618" s="27">
        <f>TRUNC(40.53,2)</f>
        <v>40.53</v>
      </c>
      <c r="G618" s="26">
        <f>TRUNC(E618*F618,2)</f>
        <v>40.53</v>
      </c>
      <c r="H618" s="26"/>
      <c r="I618" s="27"/>
    </row>
    <row r="619" spans="1:9" s="83" customFormat="1" ht="14.25">
      <c r="A619" s="35"/>
      <c r="B619" s="85"/>
      <c r="C619" s="36"/>
      <c r="D619" s="107"/>
      <c r="E619" s="27" t="s">
        <v>150</v>
      </c>
      <c r="F619" s="27"/>
      <c r="G619" s="26">
        <f>TRUNC(SUM(G618:G618),2)</f>
        <v>40.53</v>
      </c>
      <c r="H619" s="26"/>
      <c r="I619" s="27"/>
    </row>
    <row r="620" spans="1:9" s="83" customFormat="1" ht="71.25">
      <c r="A620" s="35" t="s">
        <v>881</v>
      </c>
      <c r="B620" s="85" t="s">
        <v>861</v>
      </c>
      <c r="C620" s="36" t="s">
        <v>862</v>
      </c>
      <c r="D620" s="107" t="s">
        <v>148</v>
      </c>
      <c r="E620" s="27">
        <v>1</v>
      </c>
      <c r="F620" s="43">
        <f>G640</f>
        <v>313.22</v>
      </c>
      <c r="G620" s="27">
        <f aca="true" t="shared" si="29" ref="G620:G639">TRUNC(E620*F620,2)</f>
        <v>313.22</v>
      </c>
      <c r="H620" s="27"/>
      <c r="I620" s="27"/>
    </row>
    <row r="621" spans="1:9" s="83" customFormat="1" ht="14.25">
      <c r="A621" s="35"/>
      <c r="B621" s="85" t="s">
        <v>101</v>
      </c>
      <c r="C621" s="36" t="s">
        <v>244</v>
      </c>
      <c r="D621" s="107" t="s">
        <v>148</v>
      </c>
      <c r="E621" s="27">
        <v>1</v>
      </c>
      <c r="F621" s="27">
        <f>TRUNC(0.7532,2)</f>
        <v>0.75</v>
      </c>
      <c r="G621" s="27">
        <f t="shared" si="29"/>
        <v>0.75</v>
      </c>
      <c r="H621" s="27"/>
      <c r="I621" s="27"/>
    </row>
    <row r="622" spans="1:9" s="83" customFormat="1" ht="14.25">
      <c r="A622" s="35"/>
      <c r="B622" s="85" t="s">
        <v>196</v>
      </c>
      <c r="C622" s="36" t="s">
        <v>241</v>
      </c>
      <c r="D622" s="107" t="s">
        <v>148</v>
      </c>
      <c r="E622" s="27">
        <v>0.035</v>
      </c>
      <c r="F622" s="27">
        <f>TRUNC(8.56,2)</f>
        <v>8.56</v>
      </c>
      <c r="G622" s="27">
        <f t="shared" si="29"/>
        <v>0.29</v>
      </c>
      <c r="H622" s="27"/>
      <c r="I622" s="27"/>
    </row>
    <row r="623" spans="1:9" s="83" customFormat="1" ht="14.25">
      <c r="A623" s="35"/>
      <c r="B623" s="85" t="s">
        <v>98</v>
      </c>
      <c r="C623" s="36" t="s">
        <v>229</v>
      </c>
      <c r="D623" s="107" t="s">
        <v>148</v>
      </c>
      <c r="E623" s="27">
        <v>0.5</v>
      </c>
      <c r="F623" s="27">
        <f>TRUNC(3.17,2)</f>
        <v>3.17</v>
      </c>
      <c r="G623" s="27">
        <f t="shared" si="29"/>
        <v>1.58</v>
      </c>
      <c r="H623" s="27"/>
      <c r="I623" s="27"/>
    </row>
    <row r="624" spans="1:9" s="83" customFormat="1" ht="28.5">
      <c r="A624" s="35"/>
      <c r="B624" s="85" t="s">
        <v>34</v>
      </c>
      <c r="C624" s="36" t="s">
        <v>581</v>
      </c>
      <c r="D624" s="107" t="s">
        <v>148</v>
      </c>
      <c r="E624" s="27">
        <v>2</v>
      </c>
      <c r="F624" s="27">
        <f>TRUNC(4.41,2)</f>
        <v>4.41</v>
      </c>
      <c r="G624" s="27">
        <f t="shared" si="29"/>
        <v>8.82</v>
      </c>
      <c r="H624" s="27"/>
      <c r="I624" s="27"/>
    </row>
    <row r="625" spans="1:9" s="83" customFormat="1" ht="14.25">
      <c r="A625" s="35"/>
      <c r="B625" s="85" t="s">
        <v>76</v>
      </c>
      <c r="C625" s="36" t="s">
        <v>230</v>
      </c>
      <c r="D625" s="107" t="s">
        <v>148</v>
      </c>
      <c r="E625" s="27">
        <v>1</v>
      </c>
      <c r="F625" s="27">
        <f>TRUNC(0.72,2)</f>
        <v>0.72</v>
      </c>
      <c r="G625" s="27">
        <f t="shared" si="29"/>
        <v>0.72</v>
      </c>
      <c r="H625" s="27"/>
      <c r="I625" s="27"/>
    </row>
    <row r="626" spans="1:9" s="83" customFormat="1" ht="28.5">
      <c r="A626" s="35"/>
      <c r="B626" s="85" t="s">
        <v>134</v>
      </c>
      <c r="C626" s="36" t="s">
        <v>242</v>
      </c>
      <c r="D626" s="107" t="s">
        <v>148</v>
      </c>
      <c r="E626" s="27">
        <v>0.334</v>
      </c>
      <c r="F626" s="27">
        <f>TRUNC(17.2208,2)</f>
        <v>17.22</v>
      </c>
      <c r="G626" s="27">
        <f t="shared" si="29"/>
        <v>5.75</v>
      </c>
      <c r="H626" s="27"/>
      <c r="I626" s="27"/>
    </row>
    <row r="627" spans="1:9" s="83" customFormat="1" ht="28.5">
      <c r="A627" s="35"/>
      <c r="B627" s="85" t="s">
        <v>41</v>
      </c>
      <c r="C627" s="36" t="s">
        <v>243</v>
      </c>
      <c r="D627" s="107" t="s">
        <v>148</v>
      </c>
      <c r="E627" s="27">
        <v>1</v>
      </c>
      <c r="F627" s="27">
        <f>TRUNC(11.1022,2)</f>
        <v>11.1</v>
      </c>
      <c r="G627" s="27">
        <f t="shared" si="29"/>
        <v>11.1</v>
      </c>
      <c r="H627" s="27"/>
      <c r="I627" s="27"/>
    </row>
    <row r="628" spans="1:9" s="83" customFormat="1" ht="14.25">
      <c r="A628" s="35"/>
      <c r="B628" s="85" t="s">
        <v>867</v>
      </c>
      <c r="C628" s="36" t="s">
        <v>868</v>
      </c>
      <c r="D628" s="107" t="s">
        <v>148</v>
      </c>
      <c r="E628" s="27">
        <v>1</v>
      </c>
      <c r="F628" s="27">
        <f>TRUNC(4.5915,2)</f>
        <v>4.59</v>
      </c>
      <c r="G628" s="27">
        <f t="shared" si="29"/>
        <v>4.59</v>
      </c>
      <c r="H628" s="27"/>
      <c r="I628" s="27"/>
    </row>
    <row r="629" spans="1:9" s="83" customFormat="1" ht="14.25">
      <c r="A629" s="35"/>
      <c r="B629" s="85" t="s">
        <v>869</v>
      </c>
      <c r="C629" s="36" t="s">
        <v>870</v>
      </c>
      <c r="D629" s="107" t="s">
        <v>141</v>
      </c>
      <c r="E629" s="27">
        <v>30</v>
      </c>
      <c r="F629" s="27">
        <f>TRUNC(1.5,2)</f>
        <v>1.5</v>
      </c>
      <c r="G629" s="27">
        <f t="shared" si="29"/>
        <v>45</v>
      </c>
      <c r="H629" s="27"/>
      <c r="I629" s="27"/>
    </row>
    <row r="630" spans="1:9" s="83" customFormat="1" ht="28.5">
      <c r="A630" s="35"/>
      <c r="B630" s="85" t="s">
        <v>871</v>
      </c>
      <c r="C630" s="36" t="s">
        <v>872</v>
      </c>
      <c r="D630" s="107" t="s">
        <v>148</v>
      </c>
      <c r="E630" s="27">
        <v>1</v>
      </c>
      <c r="F630" s="27">
        <f>TRUNC(0.5056,2)</f>
        <v>0.5</v>
      </c>
      <c r="G630" s="27">
        <f t="shared" si="29"/>
        <v>0.5</v>
      </c>
      <c r="H630" s="27"/>
      <c r="I630" s="27"/>
    </row>
    <row r="631" spans="1:9" s="83" customFormat="1" ht="14.25">
      <c r="A631" s="35"/>
      <c r="B631" s="85" t="s">
        <v>99</v>
      </c>
      <c r="C631" s="36" t="s">
        <v>245</v>
      </c>
      <c r="D631" s="107" t="s">
        <v>148</v>
      </c>
      <c r="E631" s="27">
        <v>2</v>
      </c>
      <c r="F631" s="27">
        <f>TRUNC(0.4746,2)</f>
        <v>0.47</v>
      </c>
      <c r="G631" s="27">
        <f t="shared" si="29"/>
        <v>0.94</v>
      </c>
      <c r="H631" s="27"/>
      <c r="I631" s="27"/>
    </row>
    <row r="632" spans="1:9" s="83" customFormat="1" ht="14.25">
      <c r="A632" s="35"/>
      <c r="B632" s="85" t="s">
        <v>873</v>
      </c>
      <c r="C632" s="36" t="s">
        <v>874</v>
      </c>
      <c r="D632" s="107" t="s">
        <v>148</v>
      </c>
      <c r="E632" s="27">
        <v>1</v>
      </c>
      <c r="F632" s="27">
        <f>TRUNC(1.1659,2)</f>
        <v>1.16</v>
      </c>
      <c r="G632" s="27">
        <f t="shared" si="29"/>
        <v>1.16</v>
      </c>
      <c r="H632" s="27"/>
      <c r="I632" s="27"/>
    </row>
    <row r="633" spans="1:9" s="83" customFormat="1" ht="14.25">
      <c r="A633" s="35"/>
      <c r="B633" s="85" t="s">
        <v>100</v>
      </c>
      <c r="C633" s="36" t="s">
        <v>545</v>
      </c>
      <c r="D633" s="107" t="s">
        <v>148</v>
      </c>
      <c r="E633" s="27">
        <v>1</v>
      </c>
      <c r="F633" s="27">
        <f>TRUNC(3.5907,2)</f>
        <v>3.59</v>
      </c>
      <c r="G633" s="27">
        <f t="shared" si="29"/>
        <v>3.59</v>
      </c>
      <c r="H633" s="27"/>
      <c r="I633" s="27"/>
    </row>
    <row r="634" spans="1:9" s="83" customFormat="1" ht="14.25">
      <c r="A634" s="35"/>
      <c r="B634" s="85" t="s">
        <v>875</v>
      </c>
      <c r="C634" s="36" t="s">
        <v>876</v>
      </c>
      <c r="D634" s="107" t="s">
        <v>148</v>
      </c>
      <c r="E634" s="27">
        <v>1</v>
      </c>
      <c r="F634" s="27">
        <f>TRUNC(2.8271,2)</f>
        <v>2.82</v>
      </c>
      <c r="G634" s="27">
        <f t="shared" si="29"/>
        <v>2.82</v>
      </c>
      <c r="H634" s="27"/>
      <c r="I634" s="27"/>
    </row>
    <row r="635" spans="1:9" s="83" customFormat="1" ht="14.25">
      <c r="A635" s="35"/>
      <c r="B635" s="85" t="s">
        <v>877</v>
      </c>
      <c r="C635" s="36" t="s">
        <v>878</v>
      </c>
      <c r="D635" s="107" t="s">
        <v>148</v>
      </c>
      <c r="E635" s="27">
        <v>1</v>
      </c>
      <c r="F635" s="27">
        <f>TRUNC(4.93,2)</f>
        <v>4.93</v>
      </c>
      <c r="G635" s="27">
        <f t="shared" si="29"/>
        <v>4.93</v>
      </c>
      <c r="H635" s="27"/>
      <c r="I635" s="27"/>
    </row>
    <row r="636" spans="1:9" s="83" customFormat="1" ht="28.5">
      <c r="A636" s="35"/>
      <c r="B636" s="85" t="s">
        <v>16</v>
      </c>
      <c r="C636" s="36" t="s">
        <v>231</v>
      </c>
      <c r="D636" s="107" t="s">
        <v>148</v>
      </c>
      <c r="E636" s="27">
        <v>0.06</v>
      </c>
      <c r="F636" s="27">
        <f>TRUNC(34.03,2)</f>
        <v>34.03</v>
      </c>
      <c r="G636" s="27">
        <f t="shared" si="29"/>
        <v>2.04</v>
      </c>
      <c r="H636" s="27"/>
      <c r="I636" s="27"/>
    </row>
    <row r="637" spans="1:9" s="83" customFormat="1" ht="28.5">
      <c r="A637" s="35"/>
      <c r="B637" s="85" t="s">
        <v>386</v>
      </c>
      <c r="C637" s="36" t="s">
        <v>387</v>
      </c>
      <c r="D637" s="107" t="s">
        <v>45</v>
      </c>
      <c r="E637" s="27">
        <v>4.635</v>
      </c>
      <c r="F637" s="27">
        <f>TRUNC(13.08,2)</f>
        <v>13.08</v>
      </c>
      <c r="G637" s="27">
        <f t="shared" si="29"/>
        <v>60.62</v>
      </c>
      <c r="H637" s="27"/>
      <c r="I637" s="27"/>
    </row>
    <row r="638" spans="1:9" s="83" customFormat="1" ht="28.5">
      <c r="A638" s="35"/>
      <c r="B638" s="85" t="s">
        <v>408</v>
      </c>
      <c r="C638" s="36" t="s">
        <v>409</v>
      </c>
      <c r="D638" s="107" t="s">
        <v>45</v>
      </c>
      <c r="E638" s="27">
        <v>4.635</v>
      </c>
      <c r="F638" s="27">
        <f>TRUNC(18.05,2)</f>
        <v>18.05</v>
      </c>
      <c r="G638" s="27">
        <f t="shared" si="29"/>
        <v>83.66</v>
      </c>
      <c r="H638" s="27"/>
      <c r="I638" s="27"/>
    </row>
    <row r="639" spans="1:9" s="83" customFormat="1" ht="28.5">
      <c r="A639" s="35"/>
      <c r="B639" s="85" t="s">
        <v>410</v>
      </c>
      <c r="C639" s="36" t="s">
        <v>411</v>
      </c>
      <c r="D639" s="107" t="s">
        <v>45</v>
      </c>
      <c r="E639" s="27">
        <v>4.12</v>
      </c>
      <c r="F639" s="27">
        <f>TRUNC(18.05,2)</f>
        <v>18.05</v>
      </c>
      <c r="G639" s="27">
        <f t="shared" si="29"/>
        <v>74.36</v>
      </c>
      <c r="H639" s="27"/>
      <c r="I639" s="27"/>
    </row>
    <row r="640" spans="1:9" s="83" customFormat="1" ht="14.25">
      <c r="A640" s="35"/>
      <c r="B640" s="85"/>
      <c r="C640" s="36"/>
      <c r="D640" s="107"/>
      <c r="E640" s="27" t="s">
        <v>150</v>
      </c>
      <c r="F640" s="27"/>
      <c r="G640" s="27">
        <f>TRUNC(SUM(G621:G639),2)</f>
        <v>313.22</v>
      </c>
      <c r="H640" s="27"/>
      <c r="I640" s="27"/>
    </row>
    <row r="641" spans="1:9" s="188" customFormat="1" ht="42.75">
      <c r="A641" s="253" t="s">
        <v>3</v>
      </c>
      <c r="B641" s="254" t="s">
        <v>884</v>
      </c>
      <c r="C641" s="260" t="s">
        <v>885</v>
      </c>
      <c r="D641" s="380" t="s">
        <v>148</v>
      </c>
      <c r="E641" s="258">
        <v>8</v>
      </c>
      <c r="F641" s="258">
        <f>F642</f>
        <v>319.99</v>
      </c>
      <c r="G641" s="257">
        <f>TRUNC(F641*1.2882,2)</f>
        <v>412.21</v>
      </c>
      <c r="H641" s="257">
        <f>TRUNC(F641*E641,2)</f>
        <v>2559.92</v>
      </c>
      <c r="I641" s="258">
        <f>TRUNC(E641*G641,2)</f>
        <v>3297.68</v>
      </c>
    </row>
    <row r="642" spans="1:9" s="83" customFormat="1" ht="42.75">
      <c r="A642" s="35"/>
      <c r="B642" s="85" t="s">
        <v>882</v>
      </c>
      <c r="C642" s="36" t="s">
        <v>883</v>
      </c>
      <c r="D642" s="107" t="s">
        <v>148</v>
      </c>
      <c r="E642" s="27">
        <v>1</v>
      </c>
      <c r="F642" s="27">
        <f>G650</f>
        <v>319.99</v>
      </c>
      <c r="G642" s="27">
        <f aca="true" t="shared" si="30" ref="G642:G649">TRUNC(E642*F642,2)</f>
        <v>319.99</v>
      </c>
      <c r="H642" s="27"/>
      <c r="I642" s="27"/>
    </row>
    <row r="643" spans="1:9" s="83" customFormat="1" ht="14.25">
      <c r="A643" s="35"/>
      <c r="B643" s="85" t="s">
        <v>49</v>
      </c>
      <c r="C643" s="36" t="s">
        <v>590</v>
      </c>
      <c r="D643" s="107" t="s">
        <v>148</v>
      </c>
      <c r="E643" s="27">
        <v>1</v>
      </c>
      <c r="F643" s="27">
        <f>TRUNC(0.55,2)</f>
        <v>0.55</v>
      </c>
      <c r="G643" s="27">
        <f t="shared" si="30"/>
        <v>0.55</v>
      </c>
      <c r="H643" s="27"/>
      <c r="I643" s="27"/>
    </row>
    <row r="644" spans="1:9" s="384" customFormat="1" ht="15">
      <c r="A644" s="126"/>
      <c r="B644" s="127" t="s">
        <v>23</v>
      </c>
      <c r="C644" s="382" t="s">
        <v>593</v>
      </c>
      <c r="D644" s="383" t="s">
        <v>148</v>
      </c>
      <c r="E644" s="43">
        <v>4</v>
      </c>
      <c r="F644" s="43">
        <v>0.71</v>
      </c>
      <c r="G644" s="43">
        <f t="shared" si="30"/>
        <v>2.84</v>
      </c>
      <c r="H644" s="43"/>
      <c r="I644" s="43"/>
    </row>
    <row r="645" spans="1:9" s="384" customFormat="1" ht="15">
      <c r="A645" s="126"/>
      <c r="B645" s="127" t="s">
        <v>39</v>
      </c>
      <c r="C645" s="382" t="s">
        <v>592</v>
      </c>
      <c r="D645" s="383" t="s">
        <v>148</v>
      </c>
      <c r="E645" s="43">
        <v>1</v>
      </c>
      <c r="F645" s="43">
        <v>0.41</v>
      </c>
      <c r="G645" s="43">
        <f t="shared" si="30"/>
        <v>0.41</v>
      </c>
      <c r="H645" s="43"/>
      <c r="I645" s="43"/>
    </row>
    <row r="646" spans="1:9" s="384" customFormat="1" ht="30">
      <c r="A646" s="126"/>
      <c r="B646" s="127" t="s">
        <v>34</v>
      </c>
      <c r="C646" s="382" t="s">
        <v>581</v>
      </c>
      <c r="D646" s="383" t="s">
        <v>148</v>
      </c>
      <c r="E646" s="43">
        <v>2</v>
      </c>
      <c r="F646" s="43">
        <v>4.41</v>
      </c>
      <c r="G646" s="43">
        <f t="shared" si="30"/>
        <v>8.82</v>
      </c>
      <c r="H646" s="43"/>
      <c r="I646" s="43"/>
    </row>
    <row r="647" spans="1:9" s="83" customFormat="1" ht="14.25">
      <c r="A647" s="35"/>
      <c r="B647" s="85" t="s">
        <v>33</v>
      </c>
      <c r="C647" s="36" t="s">
        <v>257</v>
      </c>
      <c r="D647" s="107" t="s">
        <v>141</v>
      </c>
      <c r="E647" s="27">
        <v>20</v>
      </c>
      <c r="F647" s="27">
        <f>TRUNC(0.9406,2)</f>
        <v>0.94</v>
      </c>
      <c r="G647" s="27">
        <f t="shared" si="30"/>
        <v>18.8</v>
      </c>
      <c r="H647" s="27"/>
      <c r="I647" s="27"/>
    </row>
    <row r="648" spans="1:9" s="83" customFormat="1" ht="28.5">
      <c r="A648" s="35"/>
      <c r="B648" s="85" t="s">
        <v>386</v>
      </c>
      <c r="C648" s="36" t="s">
        <v>387</v>
      </c>
      <c r="D648" s="107" t="s">
        <v>45</v>
      </c>
      <c r="E648" s="27">
        <v>9.27</v>
      </c>
      <c r="F648" s="27">
        <f>TRUNC(13.08,2)</f>
        <v>13.08</v>
      </c>
      <c r="G648" s="27">
        <f t="shared" si="30"/>
        <v>121.25</v>
      </c>
      <c r="H648" s="27"/>
      <c r="I648" s="27"/>
    </row>
    <row r="649" spans="1:9" s="83" customFormat="1" ht="28.5">
      <c r="A649" s="35"/>
      <c r="B649" s="85" t="s">
        <v>410</v>
      </c>
      <c r="C649" s="36" t="s">
        <v>411</v>
      </c>
      <c r="D649" s="107" t="s">
        <v>45</v>
      </c>
      <c r="E649" s="27">
        <v>9.27</v>
      </c>
      <c r="F649" s="27">
        <f>TRUNC(18.05,2)</f>
        <v>18.05</v>
      </c>
      <c r="G649" s="27">
        <f t="shared" si="30"/>
        <v>167.32</v>
      </c>
      <c r="H649" s="27"/>
      <c r="I649" s="27"/>
    </row>
    <row r="650" spans="1:9" s="83" customFormat="1" ht="14.25">
      <c r="A650" s="35"/>
      <c r="B650" s="85"/>
      <c r="C650" s="36"/>
      <c r="D650" s="107"/>
      <c r="E650" s="27" t="s">
        <v>150</v>
      </c>
      <c r="F650" s="27"/>
      <c r="G650" s="27">
        <f>TRUNC(SUM(G643:G649),2)</f>
        <v>319.99</v>
      </c>
      <c r="H650" s="27"/>
      <c r="I650" s="27"/>
    </row>
    <row r="651" spans="1:9" s="188" customFormat="1" ht="42.75">
      <c r="A651" s="253" t="s">
        <v>4</v>
      </c>
      <c r="B651" s="254" t="s">
        <v>442</v>
      </c>
      <c r="C651" s="260" t="s">
        <v>202</v>
      </c>
      <c r="D651" s="253" t="s">
        <v>148</v>
      </c>
      <c r="E651" s="309">
        <v>2</v>
      </c>
      <c r="F651" s="258">
        <f>TRUNC((F652+I662),2)</f>
        <v>303.97</v>
      </c>
      <c r="G651" s="257">
        <f>TRUNC(F651*1.2882,2)</f>
        <v>391.57</v>
      </c>
      <c r="H651" s="257">
        <f>TRUNC(F651*E651,2)</f>
        <v>607.94</v>
      </c>
      <c r="I651" s="258">
        <f>TRUNC(E651*G651,2)</f>
        <v>783.14</v>
      </c>
    </row>
    <row r="652" spans="1:9" s="147" customFormat="1" ht="28.5">
      <c r="A652" s="130"/>
      <c r="B652" s="131" t="s">
        <v>443</v>
      </c>
      <c r="C652" s="153" t="s">
        <v>375</v>
      </c>
      <c r="D652" s="130" t="s">
        <v>148</v>
      </c>
      <c r="E652" s="154">
        <v>1</v>
      </c>
      <c r="F652" s="142">
        <f>I661</f>
        <v>287.47</v>
      </c>
      <c r="G652" s="142"/>
      <c r="H652" s="142"/>
      <c r="I652" s="135">
        <f aca="true" t="shared" si="31" ref="I652:I660">TRUNC(E652*F652,2)</f>
        <v>287.47</v>
      </c>
    </row>
    <row r="653" spans="1:9" s="147" customFormat="1" ht="15">
      <c r="A653" s="130"/>
      <c r="B653" s="131" t="s">
        <v>201</v>
      </c>
      <c r="C653" s="153" t="s">
        <v>595</v>
      </c>
      <c r="D653" s="130" t="s">
        <v>148</v>
      </c>
      <c r="E653" s="154">
        <v>1</v>
      </c>
      <c r="F653" s="142">
        <v>0.91</v>
      </c>
      <c r="G653" s="142"/>
      <c r="H653" s="142"/>
      <c r="I653" s="135">
        <f t="shared" si="31"/>
        <v>0.91</v>
      </c>
    </row>
    <row r="654" spans="1:9" s="147" customFormat="1" ht="15">
      <c r="A654" s="130"/>
      <c r="B654" s="131" t="s">
        <v>40</v>
      </c>
      <c r="C654" s="153" t="s">
        <v>591</v>
      </c>
      <c r="D654" s="130" t="s">
        <v>148</v>
      </c>
      <c r="E654" s="154">
        <v>1</v>
      </c>
      <c r="F654" s="142">
        <v>0.62</v>
      </c>
      <c r="G654" s="142"/>
      <c r="H654" s="142"/>
      <c r="I654" s="135">
        <f t="shared" si="31"/>
        <v>0.62</v>
      </c>
    </row>
    <row r="655" spans="1:9" s="147" customFormat="1" ht="15">
      <c r="A655" s="130"/>
      <c r="B655" s="131" t="s">
        <v>39</v>
      </c>
      <c r="C655" s="153" t="s">
        <v>592</v>
      </c>
      <c r="D655" s="130" t="s">
        <v>148</v>
      </c>
      <c r="E655" s="154">
        <v>4</v>
      </c>
      <c r="F655" s="142">
        <v>0.41</v>
      </c>
      <c r="G655" s="142"/>
      <c r="H655" s="142"/>
      <c r="I655" s="135">
        <f t="shared" si="31"/>
        <v>1.64</v>
      </c>
    </row>
    <row r="656" spans="1:9" s="147" customFormat="1" ht="28.5">
      <c r="A656" s="130"/>
      <c r="B656" s="131" t="s">
        <v>34</v>
      </c>
      <c r="C656" s="153" t="s">
        <v>581</v>
      </c>
      <c r="D656" s="130" t="s">
        <v>148</v>
      </c>
      <c r="E656" s="154">
        <v>5</v>
      </c>
      <c r="F656" s="142">
        <v>4.41</v>
      </c>
      <c r="G656" s="142"/>
      <c r="H656" s="142"/>
      <c r="I656" s="135">
        <f t="shared" si="31"/>
        <v>22.05</v>
      </c>
    </row>
    <row r="657" spans="1:9" s="147" customFormat="1" ht="15">
      <c r="A657" s="130"/>
      <c r="B657" s="131" t="s">
        <v>23</v>
      </c>
      <c r="C657" s="153" t="s">
        <v>593</v>
      </c>
      <c r="D657" s="130" t="s">
        <v>148</v>
      </c>
      <c r="E657" s="154">
        <v>4</v>
      </c>
      <c r="F657" s="142">
        <v>0.71</v>
      </c>
      <c r="G657" s="142"/>
      <c r="H657" s="142"/>
      <c r="I657" s="135">
        <f t="shared" si="31"/>
        <v>2.84</v>
      </c>
    </row>
    <row r="658" spans="1:9" s="147" customFormat="1" ht="15">
      <c r="A658" s="130"/>
      <c r="B658" s="131" t="s">
        <v>200</v>
      </c>
      <c r="C658" s="153" t="s">
        <v>259</v>
      </c>
      <c r="D658" s="130" t="s">
        <v>214</v>
      </c>
      <c r="E658" s="154">
        <v>0.35</v>
      </c>
      <c r="F658" s="142">
        <v>8.34</v>
      </c>
      <c r="G658" s="142"/>
      <c r="H658" s="142"/>
      <c r="I658" s="135">
        <f t="shared" si="31"/>
        <v>2.91</v>
      </c>
    </row>
    <row r="659" spans="1:9" s="147" customFormat="1" ht="28.5">
      <c r="A659" s="130"/>
      <c r="B659" s="131" t="s">
        <v>386</v>
      </c>
      <c r="C659" s="153" t="s">
        <v>387</v>
      </c>
      <c r="D659" s="130" t="s">
        <v>45</v>
      </c>
      <c r="E659" s="154">
        <v>8.24</v>
      </c>
      <c r="F659" s="142">
        <v>13.08</v>
      </c>
      <c r="G659" s="142"/>
      <c r="H659" s="142"/>
      <c r="I659" s="135">
        <f t="shared" si="31"/>
        <v>107.77</v>
      </c>
    </row>
    <row r="660" spans="1:9" s="147" customFormat="1" ht="28.5">
      <c r="A660" s="130"/>
      <c r="B660" s="131" t="s">
        <v>410</v>
      </c>
      <c r="C660" s="153" t="s">
        <v>411</v>
      </c>
      <c r="D660" s="130" t="s">
        <v>45</v>
      </c>
      <c r="E660" s="154">
        <v>8.24</v>
      </c>
      <c r="F660" s="142">
        <v>18.05</v>
      </c>
      <c r="G660" s="142"/>
      <c r="H660" s="142"/>
      <c r="I660" s="135">
        <f t="shared" si="31"/>
        <v>148.73</v>
      </c>
    </row>
    <row r="661" spans="1:9" s="147" customFormat="1" ht="15">
      <c r="A661" s="130"/>
      <c r="B661" s="131"/>
      <c r="C661" s="153"/>
      <c r="D661" s="130"/>
      <c r="E661" s="154" t="s">
        <v>150</v>
      </c>
      <c r="F661" s="142"/>
      <c r="G661" s="142"/>
      <c r="H661" s="142"/>
      <c r="I661" s="135">
        <f>TRUNC(SUM(I653:I660),2)</f>
        <v>287.47</v>
      </c>
    </row>
    <row r="662" spans="1:9" s="147" customFormat="1" ht="28.5">
      <c r="A662" s="130"/>
      <c r="B662" s="151" t="s">
        <v>444</v>
      </c>
      <c r="C662" s="155" t="s">
        <v>376</v>
      </c>
      <c r="D662" s="150" t="s">
        <v>141</v>
      </c>
      <c r="E662" s="156">
        <v>15</v>
      </c>
      <c r="F662" s="152">
        <f>TRUNC(I666,2)</f>
        <v>1.1</v>
      </c>
      <c r="G662" s="152"/>
      <c r="H662" s="152"/>
      <c r="I662" s="157">
        <f>TRUNC(E662*F662,2)</f>
        <v>16.5</v>
      </c>
    </row>
    <row r="663" spans="1:9" s="147" customFormat="1" ht="15">
      <c r="A663" s="130"/>
      <c r="B663" s="151" t="s">
        <v>261</v>
      </c>
      <c r="C663" s="155" t="s">
        <v>260</v>
      </c>
      <c r="D663" s="150" t="s">
        <v>141</v>
      </c>
      <c r="E663" s="156">
        <v>1</v>
      </c>
      <c r="F663" s="152">
        <v>0.47</v>
      </c>
      <c r="G663" s="152"/>
      <c r="H663" s="152"/>
      <c r="I663" s="157">
        <f>TRUNC(E663*F663,2)</f>
        <v>0.47</v>
      </c>
    </row>
    <row r="664" spans="1:9" s="147" customFormat="1" ht="28.5">
      <c r="A664" s="130"/>
      <c r="B664" s="151" t="s">
        <v>386</v>
      </c>
      <c r="C664" s="155" t="s">
        <v>387</v>
      </c>
      <c r="D664" s="150" t="s">
        <v>45</v>
      </c>
      <c r="E664" s="156">
        <v>0.0206</v>
      </c>
      <c r="F664" s="152">
        <v>13.08</v>
      </c>
      <c r="G664" s="152"/>
      <c r="H664" s="152"/>
      <c r="I664" s="157">
        <f>TRUNC(E664*F664,2)</f>
        <v>0.26</v>
      </c>
    </row>
    <row r="665" spans="1:9" s="147" customFormat="1" ht="28.5">
      <c r="A665" s="130"/>
      <c r="B665" s="151" t="s">
        <v>410</v>
      </c>
      <c r="C665" s="155" t="s">
        <v>411</v>
      </c>
      <c r="D665" s="150" t="s">
        <v>45</v>
      </c>
      <c r="E665" s="156">
        <v>0.0206</v>
      </c>
      <c r="F665" s="152">
        <v>18.05</v>
      </c>
      <c r="G665" s="152"/>
      <c r="H665" s="152"/>
      <c r="I665" s="157">
        <f>TRUNC(E665*F665,2)</f>
        <v>0.37</v>
      </c>
    </row>
    <row r="666" spans="1:9" s="147" customFormat="1" ht="15">
      <c r="A666" s="130"/>
      <c r="B666" s="151"/>
      <c r="C666" s="155"/>
      <c r="D666" s="150"/>
      <c r="E666" s="156" t="s">
        <v>150</v>
      </c>
      <c r="F666" s="152"/>
      <c r="G666" s="152"/>
      <c r="H666" s="152"/>
      <c r="I666" s="157">
        <f>TRUNC(SUM(I663:I665),2)</f>
        <v>1.1</v>
      </c>
    </row>
    <row r="667" spans="1:9" s="385" customFormat="1" ht="42.75">
      <c r="A667" s="253" t="s">
        <v>5</v>
      </c>
      <c r="B667" s="254" t="s">
        <v>886</v>
      </c>
      <c r="C667" s="260" t="s">
        <v>887</v>
      </c>
      <c r="D667" s="253" t="s">
        <v>148</v>
      </c>
      <c r="E667" s="309">
        <v>37</v>
      </c>
      <c r="F667" s="258">
        <f>F668</f>
        <v>114.94</v>
      </c>
      <c r="G667" s="257">
        <f>TRUNC(F667*1.2882,2)</f>
        <v>148.06</v>
      </c>
      <c r="H667" s="257">
        <f>TRUNC(F667*E667,2)</f>
        <v>4252.78</v>
      </c>
      <c r="I667" s="258">
        <f>TRUNC(E667*G667,2)</f>
        <v>5478.22</v>
      </c>
    </row>
    <row r="668" spans="1:9" s="83" customFormat="1" ht="42.75">
      <c r="A668" s="35"/>
      <c r="B668" s="85" t="s">
        <v>886</v>
      </c>
      <c r="C668" s="36" t="s">
        <v>887</v>
      </c>
      <c r="D668" s="35" t="s">
        <v>148</v>
      </c>
      <c r="E668" s="62">
        <v>1</v>
      </c>
      <c r="F668" s="27">
        <f>TRUNC(114.947319,2)</f>
        <v>114.94</v>
      </c>
      <c r="G668" s="26">
        <f aca="true" t="shared" si="32" ref="G668:G674">TRUNC(E668*F668,2)</f>
        <v>114.94</v>
      </c>
      <c r="H668" s="26"/>
      <c r="I668" s="27"/>
    </row>
    <row r="669" spans="1:9" s="83" customFormat="1" ht="28.5">
      <c r="A669" s="35"/>
      <c r="B669" s="85" t="s">
        <v>888</v>
      </c>
      <c r="C669" s="36" t="s">
        <v>889</v>
      </c>
      <c r="D669" s="35" t="s">
        <v>148</v>
      </c>
      <c r="E669" s="62">
        <v>1</v>
      </c>
      <c r="F669" s="27">
        <f>TRUNC(18.32,2)</f>
        <v>18.32</v>
      </c>
      <c r="G669" s="26">
        <f t="shared" si="32"/>
        <v>18.32</v>
      </c>
      <c r="H669" s="26"/>
      <c r="I669" s="27"/>
    </row>
    <row r="670" spans="1:9" s="83" customFormat="1" ht="14.25">
      <c r="A670" s="35"/>
      <c r="B670" s="85" t="s">
        <v>890</v>
      </c>
      <c r="C670" s="36" t="s">
        <v>891</v>
      </c>
      <c r="D670" s="35" t="s">
        <v>148</v>
      </c>
      <c r="E670" s="62">
        <v>2</v>
      </c>
      <c r="F670" s="27">
        <f>TRUNC(24.04,2)</f>
        <v>24.04</v>
      </c>
      <c r="G670" s="26">
        <f t="shared" si="32"/>
        <v>48.08</v>
      </c>
      <c r="H670" s="26"/>
      <c r="I670" s="27"/>
    </row>
    <row r="671" spans="1:9" s="83" customFormat="1" ht="14.25">
      <c r="A671" s="35"/>
      <c r="B671" s="85" t="s">
        <v>92</v>
      </c>
      <c r="C671" s="36" t="s">
        <v>596</v>
      </c>
      <c r="D671" s="35" t="s">
        <v>148</v>
      </c>
      <c r="E671" s="62">
        <v>1</v>
      </c>
      <c r="F671" s="27">
        <f>TRUNC(2.95,2)</f>
        <v>2.95</v>
      </c>
      <c r="G671" s="26">
        <f t="shared" si="32"/>
        <v>2.95</v>
      </c>
      <c r="H671" s="26"/>
      <c r="I671" s="27"/>
    </row>
    <row r="672" spans="1:9" s="83" customFormat="1" ht="14.25">
      <c r="A672" s="35"/>
      <c r="B672" s="85" t="s">
        <v>103</v>
      </c>
      <c r="C672" s="36" t="s">
        <v>597</v>
      </c>
      <c r="D672" s="35" t="s">
        <v>148</v>
      </c>
      <c r="E672" s="62">
        <v>4</v>
      </c>
      <c r="F672" s="27">
        <f>TRUNC(1.7,2)</f>
        <v>1.7</v>
      </c>
      <c r="G672" s="26">
        <f t="shared" si="32"/>
        <v>6.8</v>
      </c>
      <c r="H672" s="26"/>
      <c r="I672" s="27"/>
    </row>
    <row r="673" spans="1:9" s="83" customFormat="1" ht="28.5">
      <c r="A673" s="35"/>
      <c r="B673" s="85" t="s">
        <v>386</v>
      </c>
      <c r="C673" s="36" t="s">
        <v>387</v>
      </c>
      <c r="D673" s="35" t="s">
        <v>45</v>
      </c>
      <c r="E673" s="62">
        <v>1.2463</v>
      </c>
      <c r="F673" s="27">
        <f>TRUNC(13.08,2)</f>
        <v>13.08</v>
      </c>
      <c r="G673" s="26">
        <f t="shared" si="32"/>
        <v>16.3</v>
      </c>
      <c r="H673" s="26"/>
      <c r="I673" s="27"/>
    </row>
    <row r="674" spans="1:9" s="83" customFormat="1" ht="28.5">
      <c r="A674" s="35"/>
      <c r="B674" s="85" t="s">
        <v>410</v>
      </c>
      <c r="C674" s="36" t="s">
        <v>411</v>
      </c>
      <c r="D674" s="35" t="s">
        <v>45</v>
      </c>
      <c r="E674" s="62">
        <v>1.2463</v>
      </c>
      <c r="F674" s="27">
        <f>TRUNC(18.05,2)</f>
        <v>18.05</v>
      </c>
      <c r="G674" s="26">
        <f t="shared" si="32"/>
        <v>22.49</v>
      </c>
      <c r="H674" s="26"/>
      <c r="I674" s="27"/>
    </row>
    <row r="675" spans="1:9" s="83" customFormat="1" ht="14.25">
      <c r="A675" s="35"/>
      <c r="B675" s="85"/>
      <c r="C675" s="36"/>
      <c r="D675" s="35"/>
      <c r="E675" s="62" t="s">
        <v>150</v>
      </c>
      <c r="F675" s="27"/>
      <c r="G675" s="26">
        <f>TRUNC(SUM(G669:G674),2)</f>
        <v>114.94</v>
      </c>
      <c r="H675" s="26"/>
      <c r="I675" s="27"/>
    </row>
    <row r="676" spans="1:9" s="188" customFormat="1" ht="28.5">
      <c r="A676" s="253" t="s">
        <v>6</v>
      </c>
      <c r="B676" s="254" t="s">
        <v>901</v>
      </c>
      <c r="C676" s="260" t="s">
        <v>898</v>
      </c>
      <c r="D676" s="253" t="s">
        <v>148</v>
      </c>
      <c r="E676" s="309">
        <v>6</v>
      </c>
      <c r="F676" s="258">
        <f>F677</f>
        <v>63.56</v>
      </c>
      <c r="G676" s="257">
        <f>TRUNC(F676*1.2882,2)</f>
        <v>81.87</v>
      </c>
      <c r="H676" s="257">
        <f>TRUNC(F676*E676,2)</f>
        <v>381.36</v>
      </c>
      <c r="I676" s="258">
        <f>TRUNC(E676*G676,2)</f>
        <v>491.22</v>
      </c>
    </row>
    <row r="677" spans="1:9" s="83" customFormat="1" ht="42.75">
      <c r="A677" s="35"/>
      <c r="B677" s="85" t="s">
        <v>892</v>
      </c>
      <c r="C677" s="36" t="s">
        <v>893</v>
      </c>
      <c r="D677" s="35" t="s">
        <v>148</v>
      </c>
      <c r="E677" s="62">
        <v>1</v>
      </c>
      <c r="F677" s="27">
        <f>G682</f>
        <v>63.56</v>
      </c>
      <c r="G677" s="26">
        <f>TRUNC(E677*F677,2)</f>
        <v>63.56</v>
      </c>
      <c r="H677" s="26"/>
      <c r="I677" s="27"/>
    </row>
    <row r="678" spans="1:9" s="384" customFormat="1" ht="15">
      <c r="A678" s="126"/>
      <c r="B678" s="127" t="s">
        <v>896</v>
      </c>
      <c r="C678" s="382" t="s">
        <v>897</v>
      </c>
      <c r="D678" s="126" t="s">
        <v>148</v>
      </c>
      <c r="E678" s="70">
        <v>1</v>
      </c>
      <c r="F678" s="43">
        <v>20.59</v>
      </c>
      <c r="G678" s="386">
        <f>TRUNC(E678*F678,2)</f>
        <v>20.59</v>
      </c>
      <c r="H678" s="386"/>
      <c r="I678" s="43"/>
    </row>
    <row r="679" spans="1:9" s="83" customFormat="1" ht="14.25">
      <c r="A679" s="35"/>
      <c r="B679" s="85" t="s">
        <v>894</v>
      </c>
      <c r="C679" s="36" t="s">
        <v>895</v>
      </c>
      <c r="D679" s="35" t="s">
        <v>148</v>
      </c>
      <c r="E679" s="62">
        <v>1</v>
      </c>
      <c r="F679" s="27">
        <f>TRUNC(26.95,2)</f>
        <v>26.95</v>
      </c>
      <c r="G679" s="26">
        <f>TRUNC(E679*F679,2)</f>
        <v>26.95</v>
      </c>
      <c r="H679" s="26"/>
      <c r="I679" s="27"/>
    </row>
    <row r="680" spans="1:9" s="83" customFormat="1" ht="28.5">
      <c r="A680" s="35"/>
      <c r="B680" s="85" t="s">
        <v>386</v>
      </c>
      <c r="C680" s="36" t="s">
        <v>387</v>
      </c>
      <c r="D680" s="35" t="s">
        <v>45</v>
      </c>
      <c r="E680" s="62">
        <v>0.515</v>
      </c>
      <c r="F680" s="27">
        <f>TRUNC(13.08,2)</f>
        <v>13.08</v>
      </c>
      <c r="G680" s="26">
        <f>TRUNC(E680*F680,2)</f>
        <v>6.73</v>
      </c>
      <c r="H680" s="26"/>
      <c r="I680" s="27"/>
    </row>
    <row r="681" spans="1:9" s="83" customFormat="1" ht="28.5">
      <c r="A681" s="35"/>
      <c r="B681" s="85" t="s">
        <v>410</v>
      </c>
      <c r="C681" s="36" t="s">
        <v>411</v>
      </c>
      <c r="D681" s="35" t="s">
        <v>45</v>
      </c>
      <c r="E681" s="62">
        <v>0.515</v>
      </c>
      <c r="F681" s="27">
        <f>TRUNC(18.05,2)</f>
        <v>18.05</v>
      </c>
      <c r="G681" s="26">
        <f>TRUNC(E681*F681,2)</f>
        <v>9.29</v>
      </c>
      <c r="H681" s="26"/>
      <c r="I681" s="27"/>
    </row>
    <row r="682" spans="1:9" s="83" customFormat="1" ht="14.25">
      <c r="A682" s="35"/>
      <c r="B682" s="85"/>
      <c r="C682" s="36"/>
      <c r="D682" s="35"/>
      <c r="E682" s="62" t="s">
        <v>150</v>
      </c>
      <c r="F682" s="27"/>
      <c r="G682" s="26">
        <f>TRUNC(SUM(G678:G681),2)</f>
        <v>63.56</v>
      </c>
      <c r="H682" s="26"/>
      <c r="I682" s="27"/>
    </row>
    <row r="683" spans="1:9" s="188" customFormat="1" ht="28.5">
      <c r="A683" s="253" t="s">
        <v>7</v>
      </c>
      <c r="B683" s="254" t="s">
        <v>445</v>
      </c>
      <c r="C683" s="260" t="s">
        <v>358</v>
      </c>
      <c r="D683" s="380" t="s">
        <v>148</v>
      </c>
      <c r="E683" s="258">
        <v>10</v>
      </c>
      <c r="F683" s="258">
        <f>TRUNC(9.157375,2)</f>
        <v>9.15</v>
      </c>
      <c r="G683" s="257">
        <f>TRUNC(F683*1.2882,2)</f>
        <v>11.78</v>
      </c>
      <c r="H683" s="257">
        <f>TRUNC(F683*E683,2)</f>
        <v>91.5</v>
      </c>
      <c r="I683" s="258">
        <f>TRUNC(E683*G683,2)</f>
        <v>117.8</v>
      </c>
    </row>
    <row r="684" spans="1:9" s="83" customFormat="1" ht="14.25">
      <c r="A684" s="35"/>
      <c r="B684" s="85" t="s">
        <v>263</v>
      </c>
      <c r="C684" s="36" t="s">
        <v>262</v>
      </c>
      <c r="D684" s="107" t="s">
        <v>148</v>
      </c>
      <c r="E684" s="27">
        <v>1</v>
      </c>
      <c r="F684" s="27">
        <v>6.93</v>
      </c>
      <c r="G684" s="27"/>
      <c r="H684" s="27"/>
      <c r="I684" s="27">
        <f>TRUNC(E684*F684,2)</f>
        <v>6.93</v>
      </c>
    </row>
    <row r="685" spans="1:9" s="83" customFormat="1" ht="28.5">
      <c r="A685" s="35"/>
      <c r="B685" s="85" t="s">
        <v>410</v>
      </c>
      <c r="C685" s="36" t="s">
        <v>411</v>
      </c>
      <c r="D685" s="107" t="s">
        <v>45</v>
      </c>
      <c r="E685" s="27">
        <v>0.12875</v>
      </c>
      <c r="F685" s="27">
        <v>18.05</v>
      </c>
      <c r="G685" s="27"/>
      <c r="H685" s="27"/>
      <c r="I685" s="27">
        <f>TRUNC(E685*F685,2)</f>
        <v>2.32</v>
      </c>
    </row>
    <row r="686" spans="1:9" s="83" customFormat="1" ht="14.25">
      <c r="A686" s="35"/>
      <c r="B686" s="85"/>
      <c r="C686" s="36"/>
      <c r="D686" s="107"/>
      <c r="E686" s="27" t="s">
        <v>150</v>
      </c>
      <c r="F686" s="27"/>
      <c r="G686" s="27"/>
      <c r="H686" s="27"/>
      <c r="I686" s="27">
        <f>TRUNC(SUM(I684:I685),2)</f>
        <v>9.25</v>
      </c>
    </row>
    <row r="687" spans="1:9" s="188" customFormat="1" ht="28.5">
      <c r="A687" s="253" t="s">
        <v>8</v>
      </c>
      <c r="B687" s="254" t="s">
        <v>446</v>
      </c>
      <c r="C687" s="260" t="s">
        <v>359</v>
      </c>
      <c r="D687" s="380" t="s">
        <v>148</v>
      </c>
      <c r="E687" s="258">
        <v>21</v>
      </c>
      <c r="F687" s="258">
        <f>I690</f>
        <v>29.03</v>
      </c>
      <c r="G687" s="257">
        <f>TRUNC(F687*1.2882,2)</f>
        <v>37.39</v>
      </c>
      <c r="H687" s="257">
        <f>TRUNC(F687*E687,2)</f>
        <v>609.63</v>
      </c>
      <c r="I687" s="258">
        <f>TRUNC(E687*G687,2)</f>
        <v>785.19</v>
      </c>
    </row>
    <row r="688" spans="1:9" s="83" customFormat="1" ht="14.25">
      <c r="A688" s="35"/>
      <c r="B688" s="85" t="s">
        <v>162</v>
      </c>
      <c r="C688" s="36" t="s">
        <v>264</v>
      </c>
      <c r="D688" s="107" t="s">
        <v>148</v>
      </c>
      <c r="E688" s="27">
        <v>1</v>
      </c>
      <c r="F688" s="27">
        <v>26.25</v>
      </c>
      <c r="G688" s="27"/>
      <c r="H688" s="27"/>
      <c r="I688" s="27">
        <f>TRUNC(E688*F688,2)</f>
        <v>26.25</v>
      </c>
    </row>
    <row r="689" spans="1:9" s="83" customFormat="1" ht="28.5">
      <c r="A689" s="35"/>
      <c r="B689" s="85" t="s">
        <v>410</v>
      </c>
      <c r="C689" s="36" t="s">
        <v>411</v>
      </c>
      <c r="D689" s="107" t="s">
        <v>45</v>
      </c>
      <c r="E689" s="27">
        <v>0.1545</v>
      </c>
      <c r="F689" s="27">
        <v>18.05</v>
      </c>
      <c r="G689" s="27"/>
      <c r="H689" s="27"/>
      <c r="I689" s="27">
        <f>TRUNC(E689*F689,2)</f>
        <v>2.78</v>
      </c>
    </row>
    <row r="690" spans="1:9" s="83" customFormat="1" ht="14.25">
      <c r="A690" s="35"/>
      <c r="B690" s="85"/>
      <c r="C690" s="36"/>
      <c r="D690" s="107"/>
      <c r="E690" s="27" t="s">
        <v>150</v>
      </c>
      <c r="F690" s="27"/>
      <c r="G690" s="27"/>
      <c r="H690" s="27"/>
      <c r="I690" s="27">
        <f>TRUNC(SUM(I688:I689),2)</f>
        <v>29.03</v>
      </c>
    </row>
    <row r="691" spans="1:9" s="188" customFormat="1" ht="28.5">
      <c r="A691" s="253" t="s">
        <v>332</v>
      </c>
      <c r="B691" s="254" t="s">
        <v>614</v>
      </c>
      <c r="C691" s="260" t="s">
        <v>615</v>
      </c>
      <c r="D691" s="380" t="s">
        <v>148</v>
      </c>
      <c r="E691" s="258">
        <v>9</v>
      </c>
      <c r="F691" s="258">
        <f>F692</f>
        <v>45.65</v>
      </c>
      <c r="G691" s="257">
        <f>TRUNC(F691*1.2882,2)</f>
        <v>58.8</v>
      </c>
      <c r="H691" s="257">
        <f>TRUNC(F691*E691,2)</f>
        <v>410.85</v>
      </c>
      <c r="I691" s="258">
        <f>TRUNC(E691*G691,2)</f>
        <v>529.2</v>
      </c>
    </row>
    <row r="692" spans="1:9" s="83" customFormat="1" ht="28.5">
      <c r="A692" s="35"/>
      <c r="B692" s="85" t="s">
        <v>614</v>
      </c>
      <c r="C692" s="36" t="s">
        <v>615</v>
      </c>
      <c r="D692" s="107" t="s">
        <v>148</v>
      </c>
      <c r="E692" s="27">
        <v>1</v>
      </c>
      <c r="F692" s="27">
        <f>G696</f>
        <v>45.65</v>
      </c>
      <c r="G692" s="27">
        <f>TRUNC(E692*F692,2)</f>
        <v>45.65</v>
      </c>
      <c r="H692" s="27"/>
      <c r="I692" s="27">
        <f>TRUNC(E692*F692,2)</f>
        <v>45.65</v>
      </c>
    </row>
    <row r="693" spans="1:9" s="83" customFormat="1" ht="14.25">
      <c r="A693" s="35"/>
      <c r="B693" s="85" t="s">
        <v>616</v>
      </c>
      <c r="C693" s="36" t="s">
        <v>617</v>
      </c>
      <c r="D693" s="107" t="s">
        <v>148</v>
      </c>
      <c r="E693" s="27">
        <v>1</v>
      </c>
      <c r="F693" s="27">
        <f>TRUNC(40.85,2)</f>
        <v>40.85</v>
      </c>
      <c r="G693" s="27">
        <f>TRUNC(E693*F693,2)</f>
        <v>40.85</v>
      </c>
      <c r="H693" s="27"/>
      <c r="I693" s="27"/>
    </row>
    <row r="694" spans="1:9" s="83" customFormat="1" ht="28.5">
      <c r="A694" s="35"/>
      <c r="B694" s="85" t="s">
        <v>386</v>
      </c>
      <c r="C694" s="36" t="s">
        <v>387</v>
      </c>
      <c r="D694" s="107" t="s">
        <v>45</v>
      </c>
      <c r="E694" s="27">
        <v>0.1545</v>
      </c>
      <c r="F694" s="27">
        <f>TRUNC(13.08,2)</f>
        <v>13.08</v>
      </c>
      <c r="G694" s="27">
        <f>TRUNC(E694*F694,2)</f>
        <v>2.02</v>
      </c>
      <c r="H694" s="27"/>
      <c r="I694" s="27"/>
    </row>
    <row r="695" spans="1:9" s="83" customFormat="1" ht="28.5">
      <c r="A695" s="35"/>
      <c r="B695" s="85" t="s">
        <v>410</v>
      </c>
      <c r="C695" s="36" t="s">
        <v>411</v>
      </c>
      <c r="D695" s="107" t="s">
        <v>45</v>
      </c>
      <c r="E695" s="27">
        <v>0.1545</v>
      </c>
      <c r="F695" s="27">
        <f>TRUNC(18.05,2)</f>
        <v>18.05</v>
      </c>
      <c r="G695" s="27">
        <f>TRUNC(E695*F695,2)</f>
        <v>2.78</v>
      </c>
      <c r="H695" s="27"/>
      <c r="I695" s="27"/>
    </row>
    <row r="696" spans="1:9" s="83" customFormat="1" ht="14.25">
      <c r="A696" s="35"/>
      <c r="B696" s="85"/>
      <c r="C696" s="36"/>
      <c r="D696" s="107"/>
      <c r="E696" s="27" t="s">
        <v>150</v>
      </c>
      <c r="F696" s="27"/>
      <c r="G696" s="27">
        <f>TRUNC(SUM(G693:G695),2)</f>
        <v>45.65</v>
      </c>
      <c r="H696" s="27"/>
      <c r="I696" s="27"/>
    </row>
    <row r="697" spans="1:9" s="188" customFormat="1" ht="28.5">
      <c r="A697" s="253" t="s">
        <v>161</v>
      </c>
      <c r="B697" s="254" t="s">
        <v>447</v>
      </c>
      <c r="C697" s="260" t="s">
        <v>360</v>
      </c>
      <c r="D697" s="380" t="s">
        <v>148</v>
      </c>
      <c r="E697" s="258">
        <v>1</v>
      </c>
      <c r="F697" s="258">
        <f>TRUNC(I701,2)</f>
        <v>90.46</v>
      </c>
      <c r="G697" s="257">
        <f>TRUNC(F697*1.2882,2)</f>
        <v>116.53</v>
      </c>
      <c r="H697" s="257">
        <f>TRUNC(F697*E697,2)</f>
        <v>90.46</v>
      </c>
      <c r="I697" s="258">
        <f>TRUNC(E697*G697,2)</f>
        <v>116.53</v>
      </c>
    </row>
    <row r="698" spans="1:9" s="83" customFormat="1" ht="14.25">
      <c r="A698" s="35"/>
      <c r="B698" s="85" t="s">
        <v>58</v>
      </c>
      <c r="C698" s="36" t="s">
        <v>265</v>
      </c>
      <c r="D698" s="107" t="s">
        <v>148</v>
      </c>
      <c r="E698" s="27">
        <v>1</v>
      </c>
      <c r="F698" s="27">
        <v>77.65</v>
      </c>
      <c r="G698" s="27"/>
      <c r="H698" s="27"/>
      <c r="I698" s="27">
        <f>TRUNC(E698*F698,2)</f>
        <v>77.65</v>
      </c>
    </row>
    <row r="699" spans="1:9" s="83" customFormat="1" ht="28.5">
      <c r="A699" s="35"/>
      <c r="B699" s="85" t="s">
        <v>386</v>
      </c>
      <c r="C699" s="36" t="s">
        <v>387</v>
      </c>
      <c r="D699" s="107" t="s">
        <v>45</v>
      </c>
      <c r="E699" s="27">
        <v>0.41200000000000003</v>
      </c>
      <c r="F699" s="27">
        <v>13.08</v>
      </c>
      <c r="G699" s="27"/>
      <c r="H699" s="27"/>
      <c r="I699" s="27">
        <f>TRUNC(E699*F699,2)</f>
        <v>5.38</v>
      </c>
    </row>
    <row r="700" spans="1:9" s="83" customFormat="1" ht="28.5">
      <c r="A700" s="35"/>
      <c r="B700" s="85" t="s">
        <v>410</v>
      </c>
      <c r="C700" s="36" t="s">
        <v>411</v>
      </c>
      <c r="D700" s="107" t="s">
        <v>45</v>
      </c>
      <c r="E700" s="27">
        <v>0.41200000000000003</v>
      </c>
      <c r="F700" s="27">
        <v>18.05</v>
      </c>
      <c r="G700" s="27"/>
      <c r="H700" s="27"/>
      <c r="I700" s="27">
        <f>TRUNC(E700*F700,2)</f>
        <v>7.43</v>
      </c>
    </row>
    <row r="701" spans="1:9" s="83" customFormat="1" ht="14.25">
      <c r="A701" s="35"/>
      <c r="B701" s="85"/>
      <c r="C701" s="36"/>
      <c r="D701" s="107"/>
      <c r="E701" s="27" t="s">
        <v>150</v>
      </c>
      <c r="F701" s="27"/>
      <c r="G701" s="27"/>
      <c r="H701" s="27"/>
      <c r="I701" s="27">
        <f>TRUNC(SUM(I698:I700),2)</f>
        <v>90.46</v>
      </c>
    </row>
    <row r="702" spans="1:9" s="188" customFormat="1" ht="42.75">
      <c r="A702" s="253" t="s">
        <v>626</v>
      </c>
      <c r="B702" s="254" t="s">
        <v>902</v>
      </c>
      <c r="C702" s="260" t="s">
        <v>903</v>
      </c>
      <c r="D702" s="380" t="s">
        <v>148</v>
      </c>
      <c r="E702" s="258">
        <v>1</v>
      </c>
      <c r="F702" s="258">
        <f>F703</f>
        <v>234.23</v>
      </c>
      <c r="G702" s="257">
        <f>TRUNC(F702*1.2882,2)</f>
        <v>301.73</v>
      </c>
      <c r="H702" s="257">
        <f>TRUNC(F702*E702,2)</f>
        <v>234.23</v>
      </c>
      <c r="I702" s="258">
        <f>TRUNC(E702*G702,2)</f>
        <v>301.73</v>
      </c>
    </row>
    <row r="703" spans="1:9" s="83" customFormat="1" ht="42.75">
      <c r="A703" s="35"/>
      <c r="B703" s="85" t="s">
        <v>902</v>
      </c>
      <c r="C703" s="36" t="s">
        <v>903</v>
      </c>
      <c r="D703" s="107" t="s">
        <v>148</v>
      </c>
      <c r="E703" s="27">
        <v>1</v>
      </c>
      <c r="F703" s="27">
        <f>G707</f>
        <v>234.23</v>
      </c>
      <c r="G703" s="27">
        <f>TRUNC(E703*F703,2)</f>
        <v>234.23</v>
      </c>
      <c r="H703" s="27"/>
      <c r="I703" s="27"/>
    </row>
    <row r="704" spans="1:9" s="83" customFormat="1" ht="28.5">
      <c r="A704" s="35"/>
      <c r="B704" s="85" t="s">
        <v>904</v>
      </c>
      <c r="C704" s="36" t="s">
        <v>905</v>
      </c>
      <c r="D704" s="107" t="s">
        <v>148</v>
      </c>
      <c r="E704" s="27">
        <v>1</v>
      </c>
      <c r="F704" s="27">
        <f>TRUNC(144.35,2)</f>
        <v>144.35</v>
      </c>
      <c r="G704" s="27">
        <f>TRUNC(E704*F704,2)</f>
        <v>144.35</v>
      </c>
      <c r="H704" s="27"/>
      <c r="I704" s="27"/>
    </row>
    <row r="705" spans="1:9" s="83" customFormat="1" ht="14.25">
      <c r="A705" s="35"/>
      <c r="B705" s="85" t="s">
        <v>906</v>
      </c>
      <c r="C705" s="36" t="s">
        <v>907</v>
      </c>
      <c r="D705" s="107" t="s">
        <v>45</v>
      </c>
      <c r="E705" s="27">
        <v>2</v>
      </c>
      <c r="F705" s="27">
        <f>TRUNC(25.17,2)</f>
        <v>25.17</v>
      </c>
      <c r="G705" s="27">
        <f>TRUNC(E705*F705,2)</f>
        <v>50.34</v>
      </c>
      <c r="H705" s="27"/>
      <c r="I705" s="27"/>
    </row>
    <row r="706" spans="1:9" s="83" customFormat="1" ht="14.25">
      <c r="A706" s="35"/>
      <c r="B706" s="85" t="s">
        <v>899</v>
      </c>
      <c r="C706" s="36" t="s">
        <v>900</v>
      </c>
      <c r="D706" s="107" t="s">
        <v>45</v>
      </c>
      <c r="E706" s="27">
        <v>2</v>
      </c>
      <c r="F706" s="27">
        <f>TRUNC(19.77,2)</f>
        <v>19.77</v>
      </c>
      <c r="G706" s="27">
        <f>TRUNC(E706*F706,2)</f>
        <v>39.54</v>
      </c>
      <c r="H706" s="27"/>
      <c r="I706" s="27"/>
    </row>
    <row r="707" spans="1:9" s="83" customFormat="1" ht="14.25">
      <c r="A707" s="35"/>
      <c r="B707" s="85"/>
      <c r="C707" s="36"/>
      <c r="D707" s="107"/>
      <c r="E707" s="27" t="s">
        <v>150</v>
      </c>
      <c r="F707" s="27"/>
      <c r="G707" s="27">
        <f>TRUNC(SUM(G704:G706),2)</f>
        <v>234.23</v>
      </c>
      <c r="H707" s="27"/>
      <c r="I707" s="27"/>
    </row>
    <row r="708" spans="1:9" s="188" customFormat="1" ht="71.25">
      <c r="A708" s="253" t="s">
        <v>627</v>
      </c>
      <c r="B708" s="254" t="s">
        <v>618</v>
      </c>
      <c r="C708" s="260" t="s">
        <v>619</v>
      </c>
      <c r="D708" s="380" t="s">
        <v>148</v>
      </c>
      <c r="E708" s="258">
        <v>1</v>
      </c>
      <c r="F708" s="258">
        <f>F709</f>
        <v>271.65</v>
      </c>
      <c r="G708" s="257">
        <f>TRUNC(F708*1.2882,2)</f>
        <v>349.93</v>
      </c>
      <c r="H708" s="257">
        <f>TRUNC(F708*E708,2)</f>
        <v>271.65</v>
      </c>
      <c r="I708" s="258">
        <f>TRUNC(E708*G708,2)</f>
        <v>349.93</v>
      </c>
    </row>
    <row r="709" spans="1:9" s="83" customFormat="1" ht="71.25">
      <c r="A709" s="35"/>
      <c r="B709" s="85" t="s">
        <v>618</v>
      </c>
      <c r="C709" s="36" t="s">
        <v>619</v>
      </c>
      <c r="D709" s="107" t="s">
        <v>148</v>
      </c>
      <c r="E709" s="27">
        <v>1</v>
      </c>
      <c r="F709" s="27">
        <f>G713</f>
        <v>271.65</v>
      </c>
      <c r="G709" s="27">
        <f>TRUNC(E709*F709,2)</f>
        <v>271.65</v>
      </c>
      <c r="H709" s="27"/>
      <c r="I709" s="27">
        <f>TRUNC(E709*F709,2)</f>
        <v>271.65</v>
      </c>
    </row>
    <row r="710" spans="1:9" s="83" customFormat="1" ht="28.5">
      <c r="A710" s="35"/>
      <c r="B710" s="85" t="s">
        <v>620</v>
      </c>
      <c r="C710" s="36" t="s">
        <v>621</v>
      </c>
      <c r="D710" s="107" t="s">
        <v>148</v>
      </c>
      <c r="E710" s="27">
        <v>1</v>
      </c>
      <c r="F710" s="27">
        <f>TRUNC(175.47,2)</f>
        <v>175.47</v>
      </c>
      <c r="G710" s="27">
        <f>TRUNC(E710*F710,2)</f>
        <v>175.47</v>
      </c>
      <c r="H710" s="27"/>
      <c r="I710" s="27"/>
    </row>
    <row r="711" spans="1:9" s="83" customFormat="1" ht="28.5">
      <c r="A711" s="35"/>
      <c r="B711" s="85" t="s">
        <v>386</v>
      </c>
      <c r="C711" s="36" t="s">
        <v>387</v>
      </c>
      <c r="D711" s="107" t="s">
        <v>45</v>
      </c>
      <c r="E711" s="27">
        <v>3.09</v>
      </c>
      <c r="F711" s="27">
        <f>TRUNC(13.08,2)</f>
        <v>13.08</v>
      </c>
      <c r="G711" s="27">
        <f>TRUNC(E711*F711,2)</f>
        <v>40.41</v>
      </c>
      <c r="H711" s="27"/>
      <c r="I711" s="27"/>
    </row>
    <row r="712" spans="1:9" s="83" customFormat="1" ht="28.5">
      <c r="A712" s="35"/>
      <c r="B712" s="85" t="s">
        <v>410</v>
      </c>
      <c r="C712" s="36" t="s">
        <v>411</v>
      </c>
      <c r="D712" s="107" t="s">
        <v>45</v>
      </c>
      <c r="E712" s="27">
        <v>3.09</v>
      </c>
      <c r="F712" s="27">
        <f>TRUNC(18.05,2)</f>
        <v>18.05</v>
      </c>
      <c r="G712" s="27">
        <f>TRUNC(E712*F712,2)</f>
        <v>55.77</v>
      </c>
      <c r="H712" s="27"/>
      <c r="I712" s="27"/>
    </row>
    <row r="713" spans="1:9" s="83" customFormat="1" ht="14.25">
      <c r="A713" s="35"/>
      <c r="B713" s="85"/>
      <c r="C713" s="36"/>
      <c r="D713" s="107"/>
      <c r="E713" s="27" t="s">
        <v>150</v>
      </c>
      <c r="F713" s="27"/>
      <c r="G713" s="27">
        <f>TRUNC(SUM(G710:G712),2)</f>
        <v>271.65</v>
      </c>
      <c r="H713" s="27"/>
      <c r="I713" s="27"/>
    </row>
    <row r="714" spans="1:9" s="188" customFormat="1" ht="71.25">
      <c r="A714" s="253" t="s">
        <v>630</v>
      </c>
      <c r="B714" s="254" t="s">
        <v>622</v>
      </c>
      <c r="C714" s="260" t="s">
        <v>623</v>
      </c>
      <c r="D714" s="380" t="s">
        <v>148</v>
      </c>
      <c r="E714" s="258">
        <v>1</v>
      </c>
      <c r="F714" s="258">
        <f>F715</f>
        <v>314.57</v>
      </c>
      <c r="G714" s="257">
        <f>TRUNC(F714*1.2882,2)</f>
        <v>405.22</v>
      </c>
      <c r="H714" s="257">
        <f>TRUNC(F714*E714,2)</f>
        <v>314.57</v>
      </c>
      <c r="I714" s="258">
        <f>TRUNC(E714*G714,2)</f>
        <v>405.22</v>
      </c>
    </row>
    <row r="715" spans="1:9" s="83" customFormat="1" ht="71.25">
      <c r="A715" s="35"/>
      <c r="B715" s="85" t="s">
        <v>622</v>
      </c>
      <c r="C715" s="36" t="s">
        <v>623</v>
      </c>
      <c r="D715" s="107" t="s">
        <v>148</v>
      </c>
      <c r="E715" s="27">
        <v>1</v>
      </c>
      <c r="F715" s="27">
        <f>G719</f>
        <v>314.57</v>
      </c>
      <c r="G715" s="27">
        <f>TRUNC(E715*F715,2)</f>
        <v>314.57</v>
      </c>
      <c r="H715" s="27"/>
      <c r="I715" s="27">
        <f>TRUNC(E715*F715,2)</f>
        <v>314.57</v>
      </c>
    </row>
    <row r="716" spans="1:9" s="83" customFormat="1" ht="28.5">
      <c r="A716" s="35"/>
      <c r="B716" s="85" t="s">
        <v>624</v>
      </c>
      <c r="C716" s="36" t="s">
        <v>625</v>
      </c>
      <c r="D716" s="107" t="s">
        <v>148</v>
      </c>
      <c r="E716" s="27">
        <v>1</v>
      </c>
      <c r="F716" s="27">
        <f>TRUNC(202.35,2)</f>
        <v>202.35</v>
      </c>
      <c r="G716" s="27">
        <f>TRUNC(E716*F716,2)</f>
        <v>202.35</v>
      </c>
      <c r="H716" s="27"/>
      <c r="I716" s="27"/>
    </row>
    <row r="717" spans="1:9" s="83" customFormat="1" ht="28.5">
      <c r="A717" s="35"/>
      <c r="B717" s="85" t="s">
        <v>386</v>
      </c>
      <c r="C717" s="36" t="s">
        <v>387</v>
      </c>
      <c r="D717" s="107" t="s">
        <v>45</v>
      </c>
      <c r="E717" s="27">
        <v>3.605</v>
      </c>
      <c r="F717" s="27">
        <f>TRUNC(13.08,2)</f>
        <v>13.08</v>
      </c>
      <c r="G717" s="27">
        <f>TRUNC(E717*F717,2)</f>
        <v>47.15</v>
      </c>
      <c r="H717" s="27"/>
      <c r="I717" s="27"/>
    </row>
    <row r="718" spans="1:9" s="83" customFormat="1" ht="28.5">
      <c r="A718" s="35"/>
      <c r="B718" s="85" t="s">
        <v>410</v>
      </c>
      <c r="C718" s="36" t="s">
        <v>411</v>
      </c>
      <c r="D718" s="107" t="s">
        <v>45</v>
      </c>
      <c r="E718" s="27">
        <v>3.605</v>
      </c>
      <c r="F718" s="27">
        <f>TRUNC(18.05,2)</f>
        <v>18.05</v>
      </c>
      <c r="G718" s="27">
        <f>TRUNC(E718*F718,2)</f>
        <v>65.07</v>
      </c>
      <c r="H718" s="27"/>
      <c r="I718" s="27"/>
    </row>
    <row r="719" spans="1:9" s="83" customFormat="1" ht="14.25">
      <c r="A719" s="35"/>
      <c r="B719" s="85"/>
      <c r="C719" s="36"/>
      <c r="D719" s="107"/>
      <c r="E719" s="27" t="s">
        <v>150</v>
      </c>
      <c r="F719" s="27"/>
      <c r="G719" s="27">
        <f>TRUNC(SUM(G716:G718),2)</f>
        <v>314.57</v>
      </c>
      <c r="H719" s="27"/>
      <c r="I719" s="27"/>
    </row>
    <row r="720" spans="1:9" s="188" customFormat="1" ht="85.5">
      <c r="A720" s="253" t="s">
        <v>631</v>
      </c>
      <c r="B720" s="254" t="s">
        <v>448</v>
      </c>
      <c r="C720" s="260" t="s">
        <v>361</v>
      </c>
      <c r="D720" s="380" t="s">
        <v>148</v>
      </c>
      <c r="E720" s="258">
        <v>1</v>
      </c>
      <c r="F720" s="258">
        <f>TRUNC(I745,2)</f>
        <v>2241.06</v>
      </c>
      <c r="G720" s="257">
        <f>TRUNC(F720*1.2882,2)</f>
        <v>2886.93</v>
      </c>
      <c r="H720" s="257">
        <f>TRUNC(F720*E720,2)</f>
        <v>2241.06</v>
      </c>
      <c r="I720" s="258">
        <f>TRUNC(E720*G720,2)</f>
        <v>2886.93</v>
      </c>
    </row>
    <row r="721" spans="1:9" s="83" customFormat="1" ht="14.25">
      <c r="A721" s="35"/>
      <c r="B721" s="85" t="s">
        <v>275</v>
      </c>
      <c r="C721" s="36" t="s">
        <v>598</v>
      </c>
      <c r="D721" s="107" t="s">
        <v>148</v>
      </c>
      <c r="E721" s="27">
        <v>1</v>
      </c>
      <c r="F721" s="27">
        <v>9.39</v>
      </c>
      <c r="G721" s="27"/>
      <c r="H721" s="27"/>
      <c r="I721" s="27">
        <f aca="true" t="shared" si="33" ref="I721:I744">TRUNC(E721*F721,2)</f>
        <v>9.39</v>
      </c>
    </row>
    <row r="722" spans="1:9" s="83" customFormat="1" ht="28.5">
      <c r="A722" s="35"/>
      <c r="B722" s="85" t="s">
        <v>203</v>
      </c>
      <c r="C722" s="36" t="s">
        <v>225</v>
      </c>
      <c r="D722" s="107" t="s">
        <v>214</v>
      </c>
      <c r="E722" s="27">
        <v>0.2</v>
      </c>
      <c r="F722" s="27">
        <v>40.7168</v>
      </c>
      <c r="G722" s="27"/>
      <c r="H722" s="27"/>
      <c r="I722" s="27">
        <f t="shared" si="33"/>
        <v>8.14</v>
      </c>
    </row>
    <row r="723" spans="1:9" s="83" customFormat="1" ht="28.5">
      <c r="A723" s="35"/>
      <c r="B723" s="85" t="s">
        <v>267</v>
      </c>
      <c r="C723" s="36" t="s">
        <v>266</v>
      </c>
      <c r="D723" s="107" t="s">
        <v>148</v>
      </c>
      <c r="E723" s="27">
        <v>1</v>
      </c>
      <c r="F723" s="27">
        <v>322.4</v>
      </c>
      <c r="G723" s="27"/>
      <c r="H723" s="27"/>
      <c r="I723" s="27">
        <f t="shared" si="33"/>
        <v>322.4</v>
      </c>
    </row>
    <row r="724" spans="1:9" s="83" customFormat="1" ht="28.5">
      <c r="A724" s="35"/>
      <c r="B724" s="85" t="s">
        <v>34</v>
      </c>
      <c r="C724" s="36" t="s">
        <v>581</v>
      </c>
      <c r="D724" s="107" t="s">
        <v>148</v>
      </c>
      <c r="E724" s="27">
        <v>1</v>
      </c>
      <c r="F724" s="27">
        <v>4.41</v>
      </c>
      <c r="G724" s="27"/>
      <c r="H724" s="27"/>
      <c r="I724" s="27">
        <f t="shared" si="33"/>
        <v>4.41</v>
      </c>
    </row>
    <row r="725" spans="1:9" s="83" customFormat="1" ht="28.5">
      <c r="A725" s="35"/>
      <c r="B725" s="85" t="s">
        <v>204</v>
      </c>
      <c r="C725" s="36" t="s">
        <v>599</v>
      </c>
      <c r="D725" s="107" t="s">
        <v>148</v>
      </c>
      <c r="E725" s="27">
        <v>1</v>
      </c>
      <c r="F725" s="27">
        <v>8.22</v>
      </c>
      <c r="G725" s="27"/>
      <c r="H725" s="27"/>
      <c r="I725" s="27">
        <f t="shared" si="33"/>
        <v>8.22</v>
      </c>
    </row>
    <row r="726" spans="1:9" s="83" customFormat="1" ht="14.25">
      <c r="A726" s="35"/>
      <c r="B726" s="85" t="s">
        <v>205</v>
      </c>
      <c r="C726" s="36" t="s">
        <v>600</v>
      </c>
      <c r="D726" s="107" t="s">
        <v>148</v>
      </c>
      <c r="E726" s="27">
        <v>2</v>
      </c>
      <c r="F726" s="27">
        <v>1.68</v>
      </c>
      <c r="G726" s="27"/>
      <c r="H726" s="27"/>
      <c r="I726" s="27">
        <f t="shared" si="33"/>
        <v>3.36</v>
      </c>
    </row>
    <row r="727" spans="1:9" s="83" customFormat="1" ht="14.25">
      <c r="A727" s="35"/>
      <c r="B727" s="85" t="s">
        <v>206</v>
      </c>
      <c r="C727" s="36" t="s">
        <v>601</v>
      </c>
      <c r="D727" s="107" t="s">
        <v>148</v>
      </c>
      <c r="E727" s="27">
        <v>2</v>
      </c>
      <c r="F727" s="27">
        <v>0.87</v>
      </c>
      <c r="G727" s="27"/>
      <c r="H727" s="27"/>
      <c r="I727" s="27">
        <f t="shared" si="33"/>
        <v>1.74</v>
      </c>
    </row>
    <row r="728" spans="1:9" s="83" customFormat="1" ht="14.25">
      <c r="A728" s="35"/>
      <c r="B728" s="85" t="s">
        <v>269</v>
      </c>
      <c r="C728" s="36" t="s">
        <v>602</v>
      </c>
      <c r="D728" s="107" t="s">
        <v>148</v>
      </c>
      <c r="E728" s="27">
        <v>2</v>
      </c>
      <c r="F728" s="27">
        <v>21.03</v>
      </c>
      <c r="G728" s="27"/>
      <c r="H728" s="27"/>
      <c r="I728" s="27">
        <f t="shared" si="33"/>
        <v>42.06</v>
      </c>
    </row>
    <row r="729" spans="1:9" s="83" customFormat="1" ht="14.25">
      <c r="A729" s="35"/>
      <c r="B729" s="85" t="s">
        <v>271</v>
      </c>
      <c r="C729" s="36" t="s">
        <v>270</v>
      </c>
      <c r="D729" s="107" t="s">
        <v>148</v>
      </c>
      <c r="E729" s="27">
        <v>1</v>
      </c>
      <c r="F729" s="27">
        <v>24.62</v>
      </c>
      <c r="G729" s="27"/>
      <c r="H729" s="27"/>
      <c r="I729" s="27">
        <f t="shared" si="33"/>
        <v>24.62</v>
      </c>
    </row>
    <row r="730" spans="1:9" s="83" customFormat="1" ht="14.25">
      <c r="A730" s="35"/>
      <c r="B730" s="85" t="s">
        <v>9</v>
      </c>
      <c r="C730" s="36" t="s">
        <v>272</v>
      </c>
      <c r="D730" s="107" t="s">
        <v>148</v>
      </c>
      <c r="E730" s="27">
        <v>1</v>
      </c>
      <c r="F730" s="27">
        <v>26.0015</v>
      </c>
      <c r="G730" s="27"/>
      <c r="H730" s="27"/>
      <c r="I730" s="27">
        <f t="shared" si="33"/>
        <v>26</v>
      </c>
    </row>
    <row r="731" spans="1:9" s="83" customFormat="1" ht="14.25">
      <c r="A731" s="35"/>
      <c r="B731" s="85" t="s">
        <v>23</v>
      </c>
      <c r="C731" s="36" t="s">
        <v>593</v>
      </c>
      <c r="D731" s="107" t="s">
        <v>148</v>
      </c>
      <c r="E731" s="27">
        <v>1</v>
      </c>
      <c r="F731" s="27">
        <v>0.71</v>
      </c>
      <c r="G731" s="27"/>
      <c r="H731" s="27"/>
      <c r="I731" s="27">
        <f t="shared" si="33"/>
        <v>0.71</v>
      </c>
    </row>
    <row r="732" spans="1:9" s="83" customFormat="1" ht="14.25">
      <c r="A732" s="35"/>
      <c r="B732" s="85" t="s">
        <v>207</v>
      </c>
      <c r="C732" s="36" t="s">
        <v>603</v>
      </c>
      <c r="D732" s="107" t="s">
        <v>148</v>
      </c>
      <c r="E732" s="27">
        <v>2</v>
      </c>
      <c r="F732" s="27">
        <v>1.7</v>
      </c>
      <c r="G732" s="27"/>
      <c r="H732" s="27"/>
      <c r="I732" s="27">
        <f t="shared" si="33"/>
        <v>3.4</v>
      </c>
    </row>
    <row r="733" spans="1:9" s="83" customFormat="1" ht="28.5">
      <c r="A733" s="35"/>
      <c r="B733" s="85" t="s">
        <v>208</v>
      </c>
      <c r="C733" s="36" t="s">
        <v>276</v>
      </c>
      <c r="D733" s="107" t="s">
        <v>148</v>
      </c>
      <c r="E733" s="27">
        <v>1</v>
      </c>
      <c r="F733" s="27">
        <v>17.0019</v>
      </c>
      <c r="G733" s="27"/>
      <c r="H733" s="27"/>
      <c r="I733" s="27">
        <f t="shared" si="33"/>
        <v>17</v>
      </c>
    </row>
    <row r="734" spans="1:9" s="83" customFormat="1" ht="28.5">
      <c r="A734" s="35"/>
      <c r="B734" s="85" t="s">
        <v>278</v>
      </c>
      <c r="C734" s="36" t="s">
        <v>277</v>
      </c>
      <c r="D734" s="107" t="s">
        <v>148</v>
      </c>
      <c r="E734" s="27">
        <v>1</v>
      </c>
      <c r="F734" s="27">
        <v>51.4</v>
      </c>
      <c r="G734" s="27"/>
      <c r="H734" s="27"/>
      <c r="I734" s="27">
        <f t="shared" si="33"/>
        <v>51.4</v>
      </c>
    </row>
    <row r="735" spans="1:9" s="83" customFormat="1" ht="28.5">
      <c r="A735" s="35"/>
      <c r="B735" s="85" t="s">
        <v>280</v>
      </c>
      <c r="C735" s="36" t="s">
        <v>279</v>
      </c>
      <c r="D735" s="107" t="s">
        <v>148</v>
      </c>
      <c r="E735" s="27">
        <v>1</v>
      </c>
      <c r="F735" s="27">
        <v>72</v>
      </c>
      <c r="G735" s="27"/>
      <c r="H735" s="27"/>
      <c r="I735" s="27">
        <f t="shared" si="33"/>
        <v>72</v>
      </c>
    </row>
    <row r="736" spans="1:9" s="83" customFormat="1" ht="28.5">
      <c r="A736" s="35"/>
      <c r="B736" s="85" t="s">
        <v>282</v>
      </c>
      <c r="C736" s="36" t="s">
        <v>281</v>
      </c>
      <c r="D736" s="107" t="s">
        <v>148</v>
      </c>
      <c r="E736" s="27">
        <v>1</v>
      </c>
      <c r="F736" s="27">
        <v>39.04</v>
      </c>
      <c r="G736" s="27"/>
      <c r="H736" s="27"/>
      <c r="I736" s="27">
        <f t="shared" si="33"/>
        <v>39.04</v>
      </c>
    </row>
    <row r="737" spans="1:9" s="83" customFormat="1" ht="14.25">
      <c r="A737" s="35"/>
      <c r="B737" s="85" t="s">
        <v>284</v>
      </c>
      <c r="C737" s="36" t="s">
        <v>283</v>
      </c>
      <c r="D737" s="107" t="s">
        <v>148</v>
      </c>
      <c r="E737" s="27">
        <v>1</v>
      </c>
      <c r="F737" s="27">
        <v>223.97</v>
      </c>
      <c r="G737" s="27"/>
      <c r="H737" s="27"/>
      <c r="I737" s="27">
        <f t="shared" si="33"/>
        <v>223.97</v>
      </c>
    </row>
    <row r="738" spans="1:9" s="83" customFormat="1" ht="14.25">
      <c r="A738" s="35"/>
      <c r="B738" s="85" t="s">
        <v>274</v>
      </c>
      <c r="C738" s="36" t="s">
        <v>273</v>
      </c>
      <c r="D738" s="107" t="s">
        <v>148</v>
      </c>
      <c r="E738" s="27">
        <v>4</v>
      </c>
      <c r="F738" s="27">
        <v>3.53</v>
      </c>
      <c r="G738" s="27"/>
      <c r="H738" s="27"/>
      <c r="I738" s="27">
        <f t="shared" si="33"/>
        <v>14.12</v>
      </c>
    </row>
    <row r="739" spans="1:9" s="83" customFormat="1" ht="28.5">
      <c r="A739" s="35"/>
      <c r="B739" s="85" t="s">
        <v>410</v>
      </c>
      <c r="C739" s="36" t="s">
        <v>411</v>
      </c>
      <c r="D739" s="107" t="s">
        <v>45</v>
      </c>
      <c r="E739" s="27">
        <v>22.66</v>
      </c>
      <c r="F739" s="27">
        <v>18.05</v>
      </c>
      <c r="G739" s="27"/>
      <c r="H739" s="27"/>
      <c r="I739" s="27">
        <f t="shared" si="33"/>
        <v>409.01</v>
      </c>
    </row>
    <row r="740" spans="1:9" s="83" customFormat="1" ht="28.5">
      <c r="A740" s="35"/>
      <c r="B740" s="85" t="s">
        <v>386</v>
      </c>
      <c r="C740" s="36" t="s">
        <v>387</v>
      </c>
      <c r="D740" s="107" t="s">
        <v>45</v>
      </c>
      <c r="E740" s="27">
        <v>22.66</v>
      </c>
      <c r="F740" s="27">
        <v>13.08</v>
      </c>
      <c r="G740" s="27"/>
      <c r="H740" s="27"/>
      <c r="I740" s="27">
        <f t="shared" si="33"/>
        <v>296.39</v>
      </c>
    </row>
    <row r="741" spans="1:9" s="83" customFormat="1" ht="14.25">
      <c r="A741" s="35"/>
      <c r="B741" s="85" t="s">
        <v>436</v>
      </c>
      <c r="C741" s="36" t="s">
        <v>437</v>
      </c>
      <c r="D741" s="107" t="s">
        <v>142</v>
      </c>
      <c r="E741" s="27">
        <v>1.7</v>
      </c>
      <c r="F741" s="27">
        <v>44.6325</v>
      </c>
      <c r="G741" s="27"/>
      <c r="H741" s="27"/>
      <c r="I741" s="27">
        <f t="shared" si="33"/>
        <v>75.87</v>
      </c>
    </row>
    <row r="742" spans="1:9" s="83" customFormat="1" ht="14.25">
      <c r="A742" s="35"/>
      <c r="B742" s="85" t="s">
        <v>449</v>
      </c>
      <c r="C742" s="36" t="s">
        <v>450</v>
      </c>
      <c r="D742" s="107" t="s">
        <v>268</v>
      </c>
      <c r="E742" s="27">
        <v>400</v>
      </c>
      <c r="F742" s="27">
        <v>1.0524</v>
      </c>
      <c r="G742" s="27"/>
      <c r="H742" s="27"/>
      <c r="I742" s="27">
        <f t="shared" si="33"/>
        <v>420.96</v>
      </c>
    </row>
    <row r="743" spans="1:9" s="83" customFormat="1" ht="14.25">
      <c r="A743" s="35"/>
      <c r="B743" s="85" t="s">
        <v>451</v>
      </c>
      <c r="C743" s="36" t="s">
        <v>452</v>
      </c>
      <c r="D743" s="107" t="s">
        <v>43</v>
      </c>
      <c r="E743" s="27">
        <v>0.13</v>
      </c>
      <c r="F743" s="27">
        <v>266.0371</v>
      </c>
      <c r="G743" s="27"/>
      <c r="H743" s="27"/>
      <c r="I743" s="27">
        <f t="shared" si="33"/>
        <v>34.58</v>
      </c>
    </row>
    <row r="744" spans="1:9" s="83" customFormat="1" ht="14.25">
      <c r="A744" s="35"/>
      <c r="B744" s="85" t="s">
        <v>453</v>
      </c>
      <c r="C744" s="36" t="s">
        <v>454</v>
      </c>
      <c r="D744" s="107" t="s">
        <v>43</v>
      </c>
      <c r="E744" s="27">
        <v>0.07</v>
      </c>
      <c r="F744" s="27">
        <v>1889.6441</v>
      </c>
      <c r="G744" s="27"/>
      <c r="H744" s="27"/>
      <c r="I744" s="27">
        <f t="shared" si="33"/>
        <v>132.27</v>
      </c>
    </row>
    <row r="745" spans="1:9" s="83" customFormat="1" ht="14.25">
      <c r="A745" s="35"/>
      <c r="B745" s="85"/>
      <c r="C745" s="36"/>
      <c r="D745" s="107"/>
      <c r="E745" s="27" t="s">
        <v>150</v>
      </c>
      <c r="F745" s="27"/>
      <c r="G745" s="27"/>
      <c r="H745" s="27"/>
      <c r="I745" s="27">
        <f>TRUNC(SUM(I721:I744),2)</f>
        <v>2241.06</v>
      </c>
    </row>
    <row r="746" spans="1:9" s="188" customFormat="1" ht="42.75">
      <c r="A746" s="253" t="s">
        <v>632</v>
      </c>
      <c r="B746" s="254" t="s">
        <v>465</v>
      </c>
      <c r="C746" s="260" t="s">
        <v>362</v>
      </c>
      <c r="D746" s="380" t="s">
        <v>148</v>
      </c>
      <c r="E746" s="258">
        <v>1</v>
      </c>
      <c r="F746" s="258">
        <f>TRUNC(I751,2)</f>
        <v>170.11</v>
      </c>
      <c r="G746" s="257">
        <f>TRUNC(F746*1.2882,2)</f>
        <v>219.13</v>
      </c>
      <c r="H746" s="257">
        <f>TRUNC(F746*E746,2)</f>
        <v>170.11</v>
      </c>
      <c r="I746" s="258">
        <f>TRUNC(E746*G746,2)</f>
        <v>219.13</v>
      </c>
    </row>
    <row r="747" spans="1:9" s="83" customFormat="1" ht="28.5">
      <c r="A747" s="35"/>
      <c r="B747" s="85" t="s">
        <v>209</v>
      </c>
      <c r="C747" s="36" t="s">
        <v>604</v>
      </c>
      <c r="D747" s="107" t="s">
        <v>148</v>
      </c>
      <c r="E747" s="27">
        <v>1</v>
      </c>
      <c r="F747" s="27">
        <v>40.43</v>
      </c>
      <c r="G747" s="27"/>
      <c r="H747" s="27"/>
      <c r="I747" s="27">
        <f>TRUNC(E747*F747,2)</f>
        <v>40.43</v>
      </c>
    </row>
    <row r="748" spans="1:9" s="83" customFormat="1" ht="28.5">
      <c r="A748" s="35"/>
      <c r="B748" s="85" t="s">
        <v>386</v>
      </c>
      <c r="C748" s="36" t="s">
        <v>387</v>
      </c>
      <c r="D748" s="107" t="s">
        <v>45</v>
      </c>
      <c r="E748" s="27">
        <v>3.605</v>
      </c>
      <c r="F748" s="27">
        <v>13.08</v>
      </c>
      <c r="G748" s="27"/>
      <c r="H748" s="27"/>
      <c r="I748" s="27">
        <f>TRUNC(E748*F748,2)</f>
        <v>47.15</v>
      </c>
    </row>
    <row r="749" spans="1:9" s="83" customFormat="1" ht="28.5">
      <c r="A749" s="35"/>
      <c r="B749" s="85" t="s">
        <v>410</v>
      </c>
      <c r="C749" s="36" t="s">
        <v>411</v>
      </c>
      <c r="D749" s="107" t="s">
        <v>45</v>
      </c>
      <c r="E749" s="27">
        <v>2.06</v>
      </c>
      <c r="F749" s="27">
        <v>18.05</v>
      </c>
      <c r="G749" s="27"/>
      <c r="H749" s="27"/>
      <c r="I749" s="27">
        <f>TRUNC(E749*F749,2)</f>
        <v>37.18</v>
      </c>
    </row>
    <row r="750" spans="1:9" s="83" customFormat="1" ht="14.25">
      <c r="A750" s="35"/>
      <c r="B750" s="85" t="s">
        <v>453</v>
      </c>
      <c r="C750" s="36" t="s">
        <v>454</v>
      </c>
      <c r="D750" s="107" t="s">
        <v>43</v>
      </c>
      <c r="E750" s="27">
        <v>0.024</v>
      </c>
      <c r="F750" s="27">
        <v>1889.6441</v>
      </c>
      <c r="G750" s="27"/>
      <c r="H750" s="27"/>
      <c r="I750" s="27">
        <f>TRUNC(E750*F750,2)</f>
        <v>45.35</v>
      </c>
    </row>
    <row r="751" spans="1:9" s="83" customFormat="1" ht="14.25">
      <c r="A751" s="35"/>
      <c r="B751" s="85"/>
      <c r="C751" s="36"/>
      <c r="D751" s="107"/>
      <c r="E751" s="27" t="s">
        <v>150</v>
      </c>
      <c r="F751" s="27"/>
      <c r="G751" s="27"/>
      <c r="H751" s="27"/>
      <c r="I751" s="27">
        <f>TRUNC(SUM(I747:I750),2)</f>
        <v>170.11</v>
      </c>
    </row>
    <row r="752" spans="1:9" s="188" customFormat="1" ht="57">
      <c r="A752" s="253" t="s">
        <v>633</v>
      </c>
      <c r="B752" s="254" t="s">
        <v>466</v>
      </c>
      <c r="C752" s="260" t="s">
        <v>363</v>
      </c>
      <c r="D752" s="380" t="s">
        <v>141</v>
      </c>
      <c r="E752" s="258">
        <v>20</v>
      </c>
      <c r="F752" s="258">
        <f>TRUNC(I757,2)</f>
        <v>33.81</v>
      </c>
      <c r="G752" s="257">
        <f>TRUNC(F752*1.2882,2)</f>
        <v>43.55</v>
      </c>
      <c r="H752" s="257">
        <f>TRUNC(F752*E752,2)</f>
        <v>676.2</v>
      </c>
      <c r="I752" s="258">
        <f>TRUNC(E752*G752,2)</f>
        <v>871</v>
      </c>
    </row>
    <row r="753" spans="1:9" s="83" customFormat="1" ht="14.25">
      <c r="A753" s="35"/>
      <c r="B753" s="85" t="s">
        <v>196</v>
      </c>
      <c r="C753" s="36" t="s">
        <v>241</v>
      </c>
      <c r="D753" s="107" t="s">
        <v>148</v>
      </c>
      <c r="E753" s="27">
        <v>3</v>
      </c>
      <c r="F753" s="27">
        <v>8.56</v>
      </c>
      <c r="G753" s="27"/>
      <c r="H753" s="27"/>
      <c r="I753" s="27">
        <f>TRUNC(E753*F753,2)</f>
        <v>25.68</v>
      </c>
    </row>
    <row r="754" spans="1:9" s="83" customFormat="1" ht="14.25">
      <c r="A754" s="35"/>
      <c r="B754" s="85" t="s">
        <v>210</v>
      </c>
      <c r="C754" s="36" t="s">
        <v>285</v>
      </c>
      <c r="D754" s="107" t="s">
        <v>141</v>
      </c>
      <c r="E754" s="27">
        <v>1</v>
      </c>
      <c r="F754" s="27">
        <v>5.25</v>
      </c>
      <c r="G754" s="27"/>
      <c r="H754" s="27"/>
      <c r="I754" s="27">
        <f>TRUNC(E754*F754,2)</f>
        <v>5.25</v>
      </c>
    </row>
    <row r="755" spans="1:9" s="83" customFormat="1" ht="28.5">
      <c r="A755" s="35"/>
      <c r="B755" s="85" t="s">
        <v>386</v>
      </c>
      <c r="C755" s="36" t="s">
        <v>387</v>
      </c>
      <c r="D755" s="107" t="s">
        <v>45</v>
      </c>
      <c r="E755" s="27">
        <v>0.0927</v>
      </c>
      <c r="F755" s="27">
        <v>13.08</v>
      </c>
      <c r="G755" s="27"/>
      <c r="H755" s="27"/>
      <c r="I755" s="27">
        <f>TRUNC(E755*F755,2)</f>
        <v>1.21</v>
      </c>
    </row>
    <row r="756" spans="1:9" s="83" customFormat="1" ht="28.5">
      <c r="A756" s="35"/>
      <c r="B756" s="85" t="s">
        <v>410</v>
      </c>
      <c r="C756" s="36" t="s">
        <v>411</v>
      </c>
      <c r="D756" s="107" t="s">
        <v>45</v>
      </c>
      <c r="E756" s="27">
        <v>0.0927</v>
      </c>
      <c r="F756" s="27">
        <v>18.05</v>
      </c>
      <c r="G756" s="27"/>
      <c r="H756" s="27"/>
      <c r="I756" s="27">
        <f>TRUNC(E756*F756,2)</f>
        <v>1.67</v>
      </c>
    </row>
    <row r="757" spans="1:9" s="83" customFormat="1" ht="14.25">
      <c r="A757" s="35"/>
      <c r="B757" s="85"/>
      <c r="C757" s="36"/>
      <c r="D757" s="107"/>
      <c r="E757" s="27" t="s">
        <v>150</v>
      </c>
      <c r="F757" s="27"/>
      <c r="G757" s="27"/>
      <c r="H757" s="27"/>
      <c r="I757" s="27">
        <f>TRUNC(SUM(I753:I756),2)</f>
        <v>33.81</v>
      </c>
    </row>
    <row r="758" spans="1:9" s="188" customFormat="1" ht="57">
      <c r="A758" s="253" t="s">
        <v>908</v>
      </c>
      <c r="B758" s="254" t="s">
        <v>841</v>
      </c>
      <c r="C758" s="260" t="s">
        <v>842</v>
      </c>
      <c r="D758" s="380" t="s">
        <v>141</v>
      </c>
      <c r="E758" s="258">
        <v>5</v>
      </c>
      <c r="F758" s="258">
        <f>F759</f>
        <v>12.35</v>
      </c>
      <c r="G758" s="257">
        <f>TRUNC(F758*1.2882,2)</f>
        <v>15.9</v>
      </c>
      <c r="H758" s="257">
        <f>TRUNC(F758*E758,2)</f>
        <v>61.75</v>
      </c>
      <c r="I758" s="258">
        <f>TRUNC(E758*G758,2)</f>
        <v>79.5</v>
      </c>
    </row>
    <row r="759" spans="1:9" s="195" customFormat="1" ht="57">
      <c r="A759" s="164"/>
      <c r="B759" s="192" t="s">
        <v>841</v>
      </c>
      <c r="C759" s="174" t="s">
        <v>842</v>
      </c>
      <c r="D759" s="194" t="s">
        <v>141</v>
      </c>
      <c r="E759" s="166">
        <v>1</v>
      </c>
      <c r="F759" s="166">
        <f>TRUNC(12.351658,2)</f>
        <v>12.35</v>
      </c>
      <c r="G759" s="165">
        <f>TRUNC(E759*F759,2)</f>
        <v>12.35</v>
      </c>
      <c r="H759" s="165"/>
      <c r="I759" s="166"/>
    </row>
    <row r="760" spans="1:9" s="195" customFormat="1" ht="28.5">
      <c r="A760" s="164"/>
      <c r="B760" s="192" t="s">
        <v>843</v>
      </c>
      <c r="C760" s="174" t="s">
        <v>844</v>
      </c>
      <c r="D760" s="194" t="s">
        <v>148</v>
      </c>
      <c r="E760" s="166">
        <v>0.385</v>
      </c>
      <c r="F760" s="166">
        <f>TRUNC(13.76,2)</f>
        <v>13.76</v>
      </c>
      <c r="G760" s="165">
        <f>TRUNC(E760*F760,2)</f>
        <v>5.29</v>
      </c>
      <c r="H760" s="165"/>
      <c r="I760" s="166"/>
    </row>
    <row r="761" spans="1:9" s="195" customFormat="1" ht="28.5">
      <c r="A761" s="164"/>
      <c r="B761" s="192" t="s">
        <v>386</v>
      </c>
      <c r="C761" s="174" t="s">
        <v>387</v>
      </c>
      <c r="D761" s="194" t="s">
        <v>45</v>
      </c>
      <c r="E761" s="166">
        <v>0.2266</v>
      </c>
      <c r="F761" s="166">
        <f>TRUNC(13.08,2)</f>
        <v>13.08</v>
      </c>
      <c r="G761" s="165">
        <f>TRUNC(E761*F761,2)</f>
        <v>2.96</v>
      </c>
      <c r="H761" s="165"/>
      <c r="I761" s="166"/>
    </row>
    <row r="762" spans="1:9" s="195" customFormat="1" ht="28.5">
      <c r="A762" s="164"/>
      <c r="B762" s="192" t="s">
        <v>410</v>
      </c>
      <c r="C762" s="174" t="s">
        <v>411</v>
      </c>
      <c r="D762" s="194" t="s">
        <v>45</v>
      </c>
      <c r="E762" s="166">
        <v>0.2266</v>
      </c>
      <c r="F762" s="166">
        <f>TRUNC(18.05,2)</f>
        <v>18.05</v>
      </c>
      <c r="G762" s="165">
        <f>TRUNC(E762*F762,2)</f>
        <v>4.09</v>
      </c>
      <c r="H762" s="165"/>
      <c r="I762" s="166"/>
    </row>
    <row r="763" spans="1:9" s="195" customFormat="1" ht="14.25">
      <c r="A763" s="164"/>
      <c r="B763" s="192"/>
      <c r="C763" s="174"/>
      <c r="D763" s="194"/>
      <c r="E763" s="166" t="s">
        <v>150</v>
      </c>
      <c r="F763" s="166"/>
      <c r="G763" s="165">
        <f>TRUNC(SUM(G760:G762),2)</f>
        <v>12.34</v>
      </c>
      <c r="H763" s="165"/>
      <c r="I763" s="166"/>
    </row>
    <row r="764" spans="1:9" s="188" customFormat="1" ht="42.75">
      <c r="A764" s="253" t="s">
        <v>909</v>
      </c>
      <c r="B764" s="254" t="s">
        <v>628</v>
      </c>
      <c r="C764" s="260" t="s">
        <v>629</v>
      </c>
      <c r="D764" s="380" t="s">
        <v>148</v>
      </c>
      <c r="E764" s="258">
        <v>2</v>
      </c>
      <c r="F764" s="258">
        <f>F765</f>
        <v>14.22</v>
      </c>
      <c r="G764" s="257">
        <f>TRUNC(F764*1.2882,2)</f>
        <v>18.31</v>
      </c>
      <c r="H764" s="257">
        <f>TRUNC(F764*E764,2)</f>
        <v>28.44</v>
      </c>
      <c r="I764" s="258">
        <f>TRUNC(E764*G764,2)</f>
        <v>36.62</v>
      </c>
    </row>
    <row r="765" spans="1:9" s="147" customFormat="1" ht="42.75">
      <c r="A765" s="130"/>
      <c r="B765" s="131" t="s">
        <v>628</v>
      </c>
      <c r="C765" s="153" t="s">
        <v>629</v>
      </c>
      <c r="D765" s="158" t="s">
        <v>148</v>
      </c>
      <c r="E765" s="135">
        <v>1</v>
      </c>
      <c r="F765" s="135">
        <f>G768</f>
        <v>14.22</v>
      </c>
      <c r="G765" s="135">
        <f>TRUNC(E765*F765,2)</f>
        <v>14.22</v>
      </c>
      <c r="H765" s="135"/>
      <c r="I765" s="159"/>
    </row>
    <row r="766" spans="1:9" s="147" customFormat="1" ht="14.25">
      <c r="A766" s="130"/>
      <c r="B766" s="131" t="s">
        <v>1</v>
      </c>
      <c r="C766" s="153" t="s">
        <v>589</v>
      </c>
      <c r="D766" s="158" t="s">
        <v>148</v>
      </c>
      <c r="E766" s="135">
        <v>1</v>
      </c>
      <c r="F766" s="135">
        <f>TRUNC(1.21,2)</f>
        <v>1.21</v>
      </c>
      <c r="G766" s="135">
        <f>TRUNC(E766*F766,2)</f>
        <v>1.21</v>
      </c>
      <c r="H766" s="135"/>
      <c r="I766" s="159"/>
    </row>
    <row r="767" spans="1:9" s="147" customFormat="1" ht="28.5">
      <c r="A767" s="130"/>
      <c r="B767" s="131" t="s">
        <v>410</v>
      </c>
      <c r="C767" s="153" t="s">
        <v>411</v>
      </c>
      <c r="D767" s="158" t="s">
        <v>45</v>
      </c>
      <c r="E767" s="135">
        <v>0.721</v>
      </c>
      <c r="F767" s="135">
        <f>TRUNC(18.05,2)</f>
        <v>18.05</v>
      </c>
      <c r="G767" s="135">
        <f>TRUNC(E767*F767,2)</f>
        <v>13.01</v>
      </c>
      <c r="H767" s="135"/>
      <c r="I767" s="159"/>
    </row>
    <row r="768" spans="1:9" s="147" customFormat="1" ht="14.25">
      <c r="A768" s="130"/>
      <c r="B768" s="131"/>
      <c r="C768" s="153"/>
      <c r="D768" s="158"/>
      <c r="E768" s="135" t="s">
        <v>150</v>
      </c>
      <c r="F768" s="135"/>
      <c r="G768" s="135">
        <f>TRUNC(SUM(G766:G767),2)</f>
        <v>14.22</v>
      </c>
      <c r="H768" s="135"/>
      <c r="I768" s="159"/>
    </row>
    <row r="769" spans="1:9" s="188" customFormat="1" ht="28.5">
      <c r="A769" s="253" t="s">
        <v>910</v>
      </c>
      <c r="B769" s="254" t="s">
        <v>634</v>
      </c>
      <c r="C769" s="260" t="s">
        <v>635</v>
      </c>
      <c r="D769" s="380" t="s">
        <v>148</v>
      </c>
      <c r="E769" s="258">
        <v>6</v>
      </c>
      <c r="F769" s="258">
        <f>F770</f>
        <v>11.72</v>
      </c>
      <c r="G769" s="257">
        <f>TRUNC(F769*1.2882,2)</f>
        <v>15.09</v>
      </c>
      <c r="H769" s="257">
        <f>TRUNC(F769*E769,2)</f>
        <v>70.32</v>
      </c>
      <c r="I769" s="258">
        <f>TRUNC(E769*G769,2)</f>
        <v>90.54</v>
      </c>
    </row>
    <row r="770" spans="1:9" ht="28.5">
      <c r="A770" s="35"/>
      <c r="B770" s="85" t="s">
        <v>634</v>
      </c>
      <c r="C770" s="36" t="s">
        <v>635</v>
      </c>
      <c r="D770" s="107" t="s">
        <v>148</v>
      </c>
      <c r="E770" s="27">
        <v>1</v>
      </c>
      <c r="F770" s="27">
        <f>G773</f>
        <v>11.72</v>
      </c>
      <c r="G770" s="27">
        <f>TRUNC(E770*F770,2)</f>
        <v>11.72</v>
      </c>
      <c r="H770" s="27"/>
      <c r="I770" s="381"/>
    </row>
    <row r="771" spans="1:9" ht="14.25">
      <c r="A771" s="35"/>
      <c r="B771" s="85" t="s">
        <v>636</v>
      </c>
      <c r="C771" s="36" t="s">
        <v>637</v>
      </c>
      <c r="D771" s="107" t="s">
        <v>148</v>
      </c>
      <c r="E771" s="27">
        <v>1</v>
      </c>
      <c r="F771" s="27">
        <f>TRUNC(6.15,2)</f>
        <v>6.15</v>
      </c>
      <c r="G771" s="27">
        <f>TRUNC(E771*F771,2)</f>
        <v>6.15</v>
      </c>
      <c r="H771" s="27"/>
      <c r="I771" s="381"/>
    </row>
    <row r="772" spans="1:9" ht="28.5">
      <c r="A772" s="35"/>
      <c r="B772" s="85" t="s">
        <v>410</v>
      </c>
      <c r="C772" s="36" t="s">
        <v>411</v>
      </c>
      <c r="D772" s="107" t="s">
        <v>45</v>
      </c>
      <c r="E772" s="27">
        <v>0.309</v>
      </c>
      <c r="F772" s="27">
        <f>TRUNC(18.05,2)</f>
        <v>18.05</v>
      </c>
      <c r="G772" s="27">
        <f>TRUNC(E772*F772,2)</f>
        <v>5.57</v>
      </c>
      <c r="H772" s="27"/>
      <c r="I772" s="381"/>
    </row>
    <row r="773" spans="1:9" ht="14.25">
      <c r="A773" s="35"/>
      <c r="B773" s="85"/>
      <c r="C773" s="36"/>
      <c r="D773" s="107"/>
      <c r="E773" s="27" t="s">
        <v>150</v>
      </c>
      <c r="F773" s="27"/>
      <c r="G773" s="27">
        <f>TRUNC(SUM(G771:G772),2)</f>
        <v>11.72</v>
      </c>
      <c r="H773" s="27"/>
      <c r="I773" s="381"/>
    </row>
    <row r="774" spans="1:9" s="22" customFormat="1" ht="15">
      <c r="A774" s="86" t="s">
        <v>491</v>
      </c>
      <c r="B774" s="82"/>
      <c r="C774" s="46" t="s">
        <v>88</v>
      </c>
      <c r="D774" s="112"/>
      <c r="E774" s="47"/>
      <c r="F774" s="48"/>
      <c r="G774" s="48"/>
      <c r="H774" s="49">
        <f>H500+H515+H530+H545+H560+H574+H588+H602+H616+H641+H651+H667+H676+H683+H687+H691+H697+H702+H708+H714+H720+H746+H752+H758+H764+H769</f>
        <v>35418.1</v>
      </c>
      <c r="I774" s="49">
        <f>I500+I515+I530+I545+I560+I574+I588+I602+I616+I641+I651+I667+I676+I683+I687+I691+I697+I702+I708+I714+I720+I746+I752+I758+I764+I769</f>
        <v>45624.41</v>
      </c>
    </row>
    <row r="775" spans="1:9" ht="15">
      <c r="A775" s="50" t="s">
        <v>37</v>
      </c>
      <c r="B775" s="93"/>
      <c r="C775" s="63" t="s">
        <v>56</v>
      </c>
      <c r="D775" s="113"/>
      <c r="E775" s="63"/>
      <c r="F775" s="63"/>
      <c r="G775" s="63"/>
      <c r="H775" s="63"/>
      <c r="I775" s="63"/>
    </row>
    <row r="776" spans="1:9" s="186" customFormat="1" ht="57">
      <c r="A776" s="253" t="s">
        <v>127</v>
      </c>
      <c r="B776" s="254" t="s">
        <v>470</v>
      </c>
      <c r="C776" s="255" t="s">
        <v>546</v>
      </c>
      <c r="D776" s="253" t="s">
        <v>148</v>
      </c>
      <c r="E776" s="258">
        <v>7</v>
      </c>
      <c r="F776" s="258">
        <f>TRUNC(401.6392,2)</f>
        <v>401.63</v>
      </c>
      <c r="G776" s="284">
        <f>TRUNC(F776*1.2882,2)</f>
        <v>517.37</v>
      </c>
      <c r="H776" s="284">
        <f>TRUNC(F776*E776,2)</f>
        <v>2811.41</v>
      </c>
      <c r="I776" s="285">
        <f>TRUNC(E776*G776,2)</f>
        <v>3621.59</v>
      </c>
    </row>
    <row r="777" spans="1:9" s="83" customFormat="1" ht="14.25">
      <c r="A777" s="35"/>
      <c r="B777" s="85" t="s">
        <v>42</v>
      </c>
      <c r="C777" s="44" t="s">
        <v>288</v>
      </c>
      <c r="D777" s="35" t="s">
        <v>141</v>
      </c>
      <c r="E777" s="27">
        <v>10.6</v>
      </c>
      <c r="F777" s="27">
        <f>TRUNC(3.27,2)</f>
        <v>3.27</v>
      </c>
      <c r="G777" s="26">
        <f aca="true" t="shared" si="34" ref="G777:G783">TRUNC(E777*F777,2)</f>
        <v>34.66</v>
      </c>
      <c r="H777" s="26"/>
      <c r="I777" s="27"/>
    </row>
    <row r="778" spans="1:9" s="83" customFormat="1" ht="14.25">
      <c r="A778" s="35"/>
      <c r="B778" s="85" t="s">
        <v>90</v>
      </c>
      <c r="C778" s="44" t="s">
        <v>287</v>
      </c>
      <c r="D778" s="35" t="s">
        <v>141</v>
      </c>
      <c r="E778" s="27">
        <v>5.3</v>
      </c>
      <c r="F778" s="27">
        <f>TRUNC(16.25,2)</f>
        <v>16.25</v>
      </c>
      <c r="G778" s="26">
        <f t="shared" si="34"/>
        <v>86.12</v>
      </c>
      <c r="H778" s="26"/>
      <c r="I778" s="27"/>
    </row>
    <row r="779" spans="1:9" s="83" customFormat="1" ht="14.25">
      <c r="A779" s="35"/>
      <c r="B779" s="85" t="s">
        <v>118</v>
      </c>
      <c r="C779" s="44" t="s">
        <v>378</v>
      </c>
      <c r="D779" s="35" t="s">
        <v>148</v>
      </c>
      <c r="E779" s="27">
        <v>1</v>
      </c>
      <c r="F779" s="27">
        <f>TRUNC(72.45,2)</f>
        <v>72.45</v>
      </c>
      <c r="G779" s="26">
        <f t="shared" si="34"/>
        <v>72.45</v>
      </c>
      <c r="H779" s="26"/>
      <c r="I779" s="27"/>
    </row>
    <row r="780" spans="1:9" s="83" customFormat="1" ht="28.5">
      <c r="A780" s="35"/>
      <c r="B780" s="85" t="s">
        <v>144</v>
      </c>
      <c r="C780" s="44" t="s">
        <v>215</v>
      </c>
      <c r="D780" s="35" t="s">
        <v>214</v>
      </c>
      <c r="E780" s="27">
        <v>0.16</v>
      </c>
      <c r="F780" s="27">
        <f>TRUNC(8.55,2)</f>
        <v>8.55</v>
      </c>
      <c r="G780" s="26">
        <f t="shared" si="34"/>
        <v>1.36</v>
      </c>
      <c r="H780" s="26"/>
      <c r="I780" s="27"/>
    </row>
    <row r="781" spans="1:9" s="83" customFormat="1" ht="28.5">
      <c r="A781" s="35"/>
      <c r="B781" s="85" t="s">
        <v>386</v>
      </c>
      <c r="C781" s="44" t="s">
        <v>387</v>
      </c>
      <c r="D781" s="35" t="s">
        <v>45</v>
      </c>
      <c r="E781" s="27">
        <v>6.18</v>
      </c>
      <c r="F781" s="27">
        <f>TRUNC(13.08,2)</f>
        <v>13.08</v>
      </c>
      <c r="G781" s="26">
        <f t="shared" si="34"/>
        <v>80.83</v>
      </c>
      <c r="H781" s="26"/>
      <c r="I781" s="27"/>
    </row>
    <row r="782" spans="1:9" s="83" customFormat="1" ht="28.5">
      <c r="A782" s="35"/>
      <c r="B782" s="85" t="s">
        <v>388</v>
      </c>
      <c r="C782" s="44" t="s">
        <v>389</v>
      </c>
      <c r="D782" s="35" t="s">
        <v>45</v>
      </c>
      <c r="E782" s="27">
        <v>6.18</v>
      </c>
      <c r="F782" s="27">
        <f>TRUNC(19.43,2)</f>
        <v>19.43</v>
      </c>
      <c r="G782" s="26">
        <f t="shared" si="34"/>
        <v>120.07</v>
      </c>
      <c r="H782" s="26"/>
      <c r="I782" s="27"/>
    </row>
    <row r="783" spans="1:9" s="83" customFormat="1" ht="14.25">
      <c r="A783" s="35"/>
      <c r="B783" s="85" t="s">
        <v>456</v>
      </c>
      <c r="C783" s="44" t="s">
        <v>457</v>
      </c>
      <c r="D783" s="35" t="s">
        <v>148</v>
      </c>
      <c r="E783" s="27">
        <v>6</v>
      </c>
      <c r="F783" s="27">
        <f>TRUNC(1.0204,2)</f>
        <v>1.02</v>
      </c>
      <c r="G783" s="26">
        <f t="shared" si="34"/>
        <v>6.12</v>
      </c>
      <c r="H783" s="26"/>
      <c r="I783" s="27"/>
    </row>
    <row r="784" spans="1:9" s="83" customFormat="1" ht="14.25">
      <c r="A784" s="35"/>
      <c r="B784" s="85"/>
      <c r="C784" s="44"/>
      <c r="D784" s="35"/>
      <c r="E784" s="27" t="s">
        <v>150</v>
      </c>
      <c r="F784" s="27"/>
      <c r="G784" s="26">
        <f>TRUNC(SUM(G777:G783),2)</f>
        <v>401.61</v>
      </c>
      <c r="H784" s="26"/>
      <c r="I784" s="27"/>
    </row>
    <row r="785" spans="1:9" s="186" customFormat="1" ht="57">
      <c r="A785" s="253" t="s">
        <v>59</v>
      </c>
      <c r="B785" s="254" t="s">
        <v>455</v>
      </c>
      <c r="C785" s="255" t="s">
        <v>547</v>
      </c>
      <c r="D785" s="253" t="s">
        <v>148</v>
      </c>
      <c r="E785" s="258">
        <v>1</v>
      </c>
      <c r="F785" s="258">
        <f>TRUNC(396.8102,2)</f>
        <v>396.81</v>
      </c>
      <c r="G785" s="284">
        <f>TRUNC(F785*1.2882,2)</f>
        <v>511.17</v>
      </c>
      <c r="H785" s="284">
        <f>TRUNC(F785*E785,2)</f>
        <v>396.81</v>
      </c>
      <c r="I785" s="285">
        <f>TRUNC(E785*G785,2)</f>
        <v>511.17</v>
      </c>
    </row>
    <row r="786" spans="1:9" s="83" customFormat="1" ht="14.25">
      <c r="A786" s="35"/>
      <c r="B786" s="57" t="s">
        <v>42</v>
      </c>
      <c r="C786" s="44" t="s">
        <v>288</v>
      </c>
      <c r="D786" s="35" t="s">
        <v>141</v>
      </c>
      <c r="E786" s="27">
        <v>10.4</v>
      </c>
      <c r="F786" s="27">
        <f>TRUNC(3.27,2)</f>
        <v>3.27</v>
      </c>
      <c r="G786" s="26">
        <f aca="true" t="shared" si="35" ref="G786:G792">TRUNC(E786*F786,2)</f>
        <v>34</v>
      </c>
      <c r="H786" s="26"/>
      <c r="I786" s="27"/>
    </row>
    <row r="787" spans="1:9" s="83" customFormat="1" ht="14.25">
      <c r="A787" s="35"/>
      <c r="B787" s="57" t="s">
        <v>90</v>
      </c>
      <c r="C787" s="44" t="s">
        <v>287</v>
      </c>
      <c r="D787" s="35" t="s">
        <v>141</v>
      </c>
      <c r="E787" s="27">
        <v>5.2</v>
      </c>
      <c r="F787" s="27">
        <f>TRUNC(16.25,2)</f>
        <v>16.25</v>
      </c>
      <c r="G787" s="26">
        <f t="shared" si="35"/>
        <v>84.5</v>
      </c>
      <c r="H787" s="26"/>
      <c r="I787" s="27"/>
    </row>
    <row r="788" spans="1:9" s="83" customFormat="1" ht="14.25">
      <c r="A788" s="35"/>
      <c r="B788" s="57" t="s">
        <v>289</v>
      </c>
      <c r="C788" s="44" t="s">
        <v>364</v>
      </c>
      <c r="D788" s="35" t="s">
        <v>148</v>
      </c>
      <c r="E788" s="27">
        <v>1</v>
      </c>
      <c r="F788" s="27">
        <f>TRUNC(69.9,2)</f>
        <v>69.9</v>
      </c>
      <c r="G788" s="26">
        <f t="shared" si="35"/>
        <v>69.9</v>
      </c>
      <c r="H788" s="26"/>
      <c r="I788" s="27"/>
    </row>
    <row r="789" spans="1:9" s="83" customFormat="1" ht="28.5">
      <c r="A789" s="35"/>
      <c r="B789" s="57" t="s">
        <v>144</v>
      </c>
      <c r="C789" s="44" t="s">
        <v>215</v>
      </c>
      <c r="D789" s="35" t="s">
        <v>214</v>
      </c>
      <c r="E789" s="27">
        <v>0.16</v>
      </c>
      <c r="F789" s="27">
        <f>TRUNC(8.55,2)</f>
        <v>8.55</v>
      </c>
      <c r="G789" s="26">
        <f t="shared" si="35"/>
        <v>1.36</v>
      </c>
      <c r="H789" s="26"/>
      <c r="I789" s="27"/>
    </row>
    <row r="790" spans="1:9" s="83" customFormat="1" ht="28.5">
      <c r="A790" s="35"/>
      <c r="B790" s="57" t="s">
        <v>386</v>
      </c>
      <c r="C790" s="44" t="s">
        <v>387</v>
      </c>
      <c r="D790" s="35" t="s">
        <v>45</v>
      </c>
      <c r="E790" s="27">
        <v>6.18</v>
      </c>
      <c r="F790" s="27">
        <f>TRUNC(13.08,2)</f>
        <v>13.08</v>
      </c>
      <c r="G790" s="26">
        <f t="shared" si="35"/>
        <v>80.83</v>
      </c>
      <c r="H790" s="26"/>
      <c r="I790" s="27"/>
    </row>
    <row r="791" spans="1:9" s="83" customFormat="1" ht="28.5">
      <c r="A791" s="35"/>
      <c r="B791" s="57" t="s">
        <v>388</v>
      </c>
      <c r="C791" s="44" t="s">
        <v>389</v>
      </c>
      <c r="D791" s="35" t="s">
        <v>45</v>
      </c>
      <c r="E791" s="27">
        <v>6.18</v>
      </c>
      <c r="F791" s="27">
        <f>TRUNC(19.43,2)</f>
        <v>19.43</v>
      </c>
      <c r="G791" s="26">
        <f t="shared" si="35"/>
        <v>120.07</v>
      </c>
      <c r="H791" s="26"/>
      <c r="I791" s="27"/>
    </row>
    <row r="792" spans="1:9" s="83" customFormat="1" ht="14.25">
      <c r="A792" s="35"/>
      <c r="B792" s="57" t="s">
        <v>456</v>
      </c>
      <c r="C792" s="44" t="s">
        <v>457</v>
      </c>
      <c r="D792" s="35" t="s">
        <v>148</v>
      </c>
      <c r="E792" s="27">
        <v>6</v>
      </c>
      <c r="F792" s="27">
        <f>TRUNC(1.0204,2)</f>
        <v>1.02</v>
      </c>
      <c r="G792" s="26">
        <f t="shared" si="35"/>
        <v>6.12</v>
      </c>
      <c r="H792" s="26"/>
      <c r="I792" s="27"/>
    </row>
    <row r="793" spans="1:9" s="83" customFormat="1" ht="14.25">
      <c r="A793" s="35"/>
      <c r="B793" s="57"/>
      <c r="C793" s="44"/>
      <c r="D793" s="35"/>
      <c r="E793" s="27" t="s">
        <v>150</v>
      </c>
      <c r="F793" s="27"/>
      <c r="G793" s="26">
        <f>TRUNC(SUM(G786:G792),2)</f>
        <v>396.78</v>
      </c>
      <c r="H793" s="26"/>
      <c r="I793" s="27"/>
    </row>
    <row r="794" spans="1:9" s="186" customFormat="1" ht="57">
      <c r="A794" s="253" t="s">
        <v>60</v>
      </c>
      <c r="B794" s="254" t="s">
        <v>458</v>
      </c>
      <c r="C794" s="255" t="s">
        <v>548</v>
      </c>
      <c r="D794" s="253" t="s">
        <v>148</v>
      </c>
      <c r="E794" s="258">
        <v>9</v>
      </c>
      <c r="F794" s="258">
        <f>TRUNC(426.7082,2)</f>
        <v>426.7</v>
      </c>
      <c r="G794" s="284">
        <f>TRUNC(F794*1.2882,2)</f>
        <v>549.67</v>
      </c>
      <c r="H794" s="284">
        <f>TRUNC(F794*E794,2)</f>
        <v>3840.3</v>
      </c>
      <c r="I794" s="285">
        <f>TRUNC(E794*G794,2)</f>
        <v>4947.03</v>
      </c>
    </row>
    <row r="795" spans="1:9" s="83" customFormat="1" ht="14.25">
      <c r="A795" s="35"/>
      <c r="B795" s="57" t="s">
        <v>290</v>
      </c>
      <c r="C795" s="44" t="s">
        <v>365</v>
      </c>
      <c r="D795" s="35" t="s">
        <v>148</v>
      </c>
      <c r="E795" s="26">
        <v>1</v>
      </c>
      <c r="F795" s="27">
        <f>TRUNC(95.24,2)</f>
        <v>95.24</v>
      </c>
      <c r="G795" s="26">
        <f aca="true" t="shared" si="36" ref="G795:G801">TRUNC(E795*F795,2)</f>
        <v>95.24</v>
      </c>
      <c r="H795" s="26"/>
      <c r="I795" s="27"/>
    </row>
    <row r="796" spans="1:9" s="83" customFormat="1" ht="14.25">
      <c r="A796" s="35"/>
      <c r="B796" s="57" t="s">
        <v>42</v>
      </c>
      <c r="C796" s="44" t="s">
        <v>288</v>
      </c>
      <c r="D796" s="35" t="s">
        <v>141</v>
      </c>
      <c r="E796" s="26">
        <v>10.8</v>
      </c>
      <c r="F796" s="27">
        <f>TRUNC(3.27,2)</f>
        <v>3.27</v>
      </c>
      <c r="G796" s="26">
        <f t="shared" si="36"/>
        <v>35.31</v>
      </c>
      <c r="H796" s="26"/>
      <c r="I796" s="27"/>
    </row>
    <row r="797" spans="1:9" s="83" customFormat="1" ht="14.25">
      <c r="A797" s="35"/>
      <c r="B797" s="57" t="s">
        <v>90</v>
      </c>
      <c r="C797" s="44" t="s">
        <v>287</v>
      </c>
      <c r="D797" s="35" t="s">
        <v>141</v>
      </c>
      <c r="E797" s="26">
        <v>5.4</v>
      </c>
      <c r="F797" s="27">
        <f>TRUNC(16.25,2)</f>
        <v>16.25</v>
      </c>
      <c r="G797" s="26">
        <f t="shared" si="36"/>
        <v>87.75</v>
      </c>
      <c r="H797" s="26"/>
      <c r="I797" s="27"/>
    </row>
    <row r="798" spans="1:9" s="83" customFormat="1" ht="28.5">
      <c r="A798" s="35"/>
      <c r="B798" s="57" t="s">
        <v>144</v>
      </c>
      <c r="C798" s="44" t="s">
        <v>215</v>
      </c>
      <c r="D798" s="35" t="s">
        <v>214</v>
      </c>
      <c r="E798" s="26">
        <v>0.16</v>
      </c>
      <c r="F798" s="27">
        <f>TRUNC(8.55,2)</f>
        <v>8.55</v>
      </c>
      <c r="G798" s="26">
        <f t="shared" si="36"/>
        <v>1.36</v>
      </c>
      <c r="H798" s="26"/>
      <c r="I798" s="27"/>
    </row>
    <row r="799" spans="1:9" s="83" customFormat="1" ht="28.5">
      <c r="A799" s="35"/>
      <c r="B799" s="57" t="s">
        <v>386</v>
      </c>
      <c r="C799" s="44" t="s">
        <v>387</v>
      </c>
      <c r="D799" s="35" t="s">
        <v>45</v>
      </c>
      <c r="E799" s="26">
        <v>6.18</v>
      </c>
      <c r="F799" s="27">
        <f>TRUNC(13.08,2)</f>
        <v>13.08</v>
      </c>
      <c r="G799" s="26">
        <f t="shared" si="36"/>
        <v>80.83</v>
      </c>
      <c r="H799" s="26"/>
      <c r="I799" s="27"/>
    </row>
    <row r="800" spans="1:9" s="83" customFormat="1" ht="28.5">
      <c r="A800" s="35"/>
      <c r="B800" s="57" t="s">
        <v>388</v>
      </c>
      <c r="C800" s="44" t="s">
        <v>389</v>
      </c>
      <c r="D800" s="35" t="s">
        <v>45</v>
      </c>
      <c r="E800" s="26">
        <v>6.18</v>
      </c>
      <c r="F800" s="27">
        <f>TRUNC(19.43,2)</f>
        <v>19.43</v>
      </c>
      <c r="G800" s="26">
        <f t="shared" si="36"/>
        <v>120.07</v>
      </c>
      <c r="H800" s="26"/>
      <c r="I800" s="27"/>
    </row>
    <row r="801" spans="1:9" s="83" customFormat="1" ht="14.25">
      <c r="A801" s="35"/>
      <c r="B801" s="57" t="s">
        <v>456</v>
      </c>
      <c r="C801" s="44" t="s">
        <v>457</v>
      </c>
      <c r="D801" s="35" t="s">
        <v>148</v>
      </c>
      <c r="E801" s="26">
        <v>6</v>
      </c>
      <c r="F801" s="27">
        <f>TRUNC(1.0204,2)</f>
        <v>1.02</v>
      </c>
      <c r="G801" s="26">
        <f t="shared" si="36"/>
        <v>6.12</v>
      </c>
      <c r="H801" s="26"/>
      <c r="I801" s="27"/>
    </row>
    <row r="802" spans="1:9" s="83" customFormat="1" ht="14.25">
      <c r="A802" s="35"/>
      <c r="B802" s="57"/>
      <c r="C802" s="44"/>
      <c r="D802" s="35"/>
      <c r="E802" s="26" t="s">
        <v>150</v>
      </c>
      <c r="F802" s="27"/>
      <c r="G802" s="26">
        <f>TRUNC(SUM(G795:G801),2)</f>
        <v>426.68</v>
      </c>
      <c r="H802" s="26"/>
      <c r="I802" s="27"/>
    </row>
    <row r="803" spans="1:9" s="186" customFormat="1" ht="57">
      <c r="A803" s="294" t="s">
        <v>61</v>
      </c>
      <c r="B803" s="295" t="s">
        <v>551</v>
      </c>
      <c r="C803" s="296" t="s">
        <v>552</v>
      </c>
      <c r="D803" s="294" t="s">
        <v>142</v>
      </c>
      <c r="E803" s="300">
        <f>1*2.1*3</f>
        <v>6.300000000000001</v>
      </c>
      <c r="F803" s="300">
        <f>TRUNC(695.0979,2)</f>
        <v>695.09</v>
      </c>
      <c r="G803" s="310">
        <f>TRUNC(F803*1.2882,2)</f>
        <v>895.41</v>
      </c>
      <c r="H803" s="310">
        <f>TRUNC(F803*E803,2)</f>
        <v>4379.06</v>
      </c>
      <c r="I803" s="311">
        <f>TRUNC(E803*G803,2)</f>
        <v>5641.08</v>
      </c>
    </row>
    <row r="804" spans="1:9" s="83" customFormat="1" ht="14.25">
      <c r="A804" s="98"/>
      <c r="B804" s="91" t="s">
        <v>138</v>
      </c>
      <c r="C804" s="191" t="s">
        <v>286</v>
      </c>
      <c r="D804" s="110" t="s">
        <v>214</v>
      </c>
      <c r="E804" s="244">
        <v>31.970000000000002</v>
      </c>
      <c r="F804" s="68">
        <f>TRUNC(18.6,2)</f>
        <v>18.6</v>
      </c>
      <c r="G804" s="244">
        <f>TRUNC(E804*F804,2)</f>
        <v>594.64</v>
      </c>
      <c r="H804" s="244"/>
      <c r="I804" s="245"/>
    </row>
    <row r="805" spans="1:9" s="83" customFormat="1" ht="28.5">
      <c r="A805" s="99"/>
      <c r="B805" s="85" t="s">
        <v>386</v>
      </c>
      <c r="C805" s="44" t="s">
        <v>387</v>
      </c>
      <c r="D805" s="35" t="s">
        <v>45</v>
      </c>
      <c r="E805" s="26">
        <v>3.09</v>
      </c>
      <c r="F805" s="27">
        <f>TRUNC(13.08,2)</f>
        <v>13.08</v>
      </c>
      <c r="G805" s="26">
        <f>TRUNC(E805*F805,2)</f>
        <v>40.41</v>
      </c>
      <c r="H805" s="26"/>
      <c r="I805" s="246"/>
    </row>
    <row r="806" spans="1:9" s="83" customFormat="1" ht="28.5">
      <c r="A806" s="99"/>
      <c r="B806" s="85" t="s">
        <v>462</v>
      </c>
      <c r="C806" s="44" t="s">
        <v>463</v>
      </c>
      <c r="D806" s="35" t="s">
        <v>45</v>
      </c>
      <c r="E806" s="26">
        <v>3.09</v>
      </c>
      <c r="F806" s="27">
        <f>TRUNC(19.43,2)</f>
        <v>19.43</v>
      </c>
      <c r="G806" s="26">
        <f>TRUNC(E806*F806,2)</f>
        <v>60.03</v>
      </c>
      <c r="H806" s="26"/>
      <c r="I806" s="246"/>
    </row>
    <row r="807" spans="1:9" s="83" customFormat="1" ht="14.25">
      <c r="A807" s="247"/>
      <c r="B807" s="190"/>
      <c r="C807" s="189"/>
      <c r="D807" s="248"/>
      <c r="E807" s="249" t="s">
        <v>150</v>
      </c>
      <c r="F807" s="250"/>
      <c r="G807" s="249">
        <f>TRUNC(SUM(G804:G806),2)</f>
        <v>695.08</v>
      </c>
      <c r="H807" s="249"/>
      <c r="I807" s="251"/>
    </row>
    <row r="808" spans="1:9" s="186" customFormat="1" ht="85.5">
      <c r="A808" s="253" t="s">
        <v>742</v>
      </c>
      <c r="B808" s="254" t="s">
        <v>527</v>
      </c>
      <c r="C808" s="255" t="s">
        <v>528</v>
      </c>
      <c r="D808" s="253" t="s">
        <v>148</v>
      </c>
      <c r="E808" s="258">
        <v>1</v>
      </c>
      <c r="F808" s="258">
        <f>TRUNC(101.2,2)</f>
        <v>101.2</v>
      </c>
      <c r="G808" s="284">
        <f>TRUNC(F808*1.2882,2)</f>
        <v>130.36</v>
      </c>
      <c r="H808" s="284">
        <f>TRUNC(F808*E808,2)</f>
        <v>101.2</v>
      </c>
      <c r="I808" s="285">
        <f>TRUNC(E808*G808,2)</f>
        <v>130.36</v>
      </c>
    </row>
    <row r="809" spans="1:9" s="149" customFormat="1" ht="28.5">
      <c r="A809" s="130"/>
      <c r="B809" s="148" t="s">
        <v>529</v>
      </c>
      <c r="C809" s="153" t="s">
        <v>530</v>
      </c>
      <c r="D809" s="130" t="s">
        <v>148</v>
      </c>
      <c r="E809" s="135">
        <v>1</v>
      </c>
      <c r="F809" s="135">
        <f>TRUNC(101.2,2)</f>
        <v>101.2</v>
      </c>
      <c r="G809" s="134">
        <f>TRUNC(E809*F809,2)</f>
        <v>101.2</v>
      </c>
      <c r="H809" s="134"/>
      <c r="I809" s="135"/>
    </row>
    <row r="810" spans="1:9" s="149" customFormat="1" ht="14.25">
      <c r="A810" s="130"/>
      <c r="B810" s="148"/>
      <c r="C810" s="153"/>
      <c r="D810" s="130"/>
      <c r="E810" s="135" t="s">
        <v>150</v>
      </c>
      <c r="F810" s="135"/>
      <c r="G810" s="134">
        <f>TRUNC(SUM(G809:G809),2)</f>
        <v>101.2</v>
      </c>
      <c r="H810" s="134"/>
      <c r="I810" s="135"/>
    </row>
    <row r="811" spans="1:9" s="186" customFormat="1" ht="28.5">
      <c r="A811" s="269" t="s">
        <v>62</v>
      </c>
      <c r="B811" s="312" t="s">
        <v>738</v>
      </c>
      <c r="C811" s="313" t="s">
        <v>737</v>
      </c>
      <c r="D811" s="269" t="s">
        <v>142</v>
      </c>
      <c r="E811" s="275">
        <v>4.2</v>
      </c>
      <c r="F811" s="275">
        <f>TRUNC((F812+F815),2)</f>
        <v>437.03</v>
      </c>
      <c r="G811" s="314">
        <f>TRUNC(F811*1.2882,2)</f>
        <v>562.98</v>
      </c>
      <c r="H811" s="314">
        <f>TRUNC(F811*E811,2)</f>
        <v>1835.52</v>
      </c>
      <c r="I811" s="315">
        <f>TRUNC(E811*G811,2)</f>
        <v>2364.51</v>
      </c>
    </row>
    <row r="812" spans="1:9" s="83" customFormat="1" ht="28.5">
      <c r="A812" s="98"/>
      <c r="B812" s="91" t="s">
        <v>727</v>
      </c>
      <c r="C812" s="191" t="s">
        <v>728</v>
      </c>
      <c r="D812" s="110" t="s">
        <v>142</v>
      </c>
      <c r="E812" s="244">
        <v>1</v>
      </c>
      <c r="F812" s="322">
        <f>G814</f>
        <v>336.05</v>
      </c>
      <c r="G812" s="244">
        <f>TRUNC(E812*F812,2)</f>
        <v>336.05</v>
      </c>
      <c r="H812" s="244"/>
      <c r="I812" s="245"/>
    </row>
    <row r="813" spans="1:9" s="83" customFormat="1" ht="14.25">
      <c r="A813" s="99"/>
      <c r="B813" s="85" t="s">
        <v>729</v>
      </c>
      <c r="C813" s="44" t="s">
        <v>730</v>
      </c>
      <c r="D813" s="35" t="s">
        <v>142</v>
      </c>
      <c r="E813" s="26">
        <v>1</v>
      </c>
      <c r="F813" s="27">
        <f>TRUNC(336.056,2)</f>
        <v>336.05</v>
      </c>
      <c r="G813" s="26">
        <f>TRUNC(E813*F813,2)</f>
        <v>336.05</v>
      </c>
      <c r="H813" s="26"/>
      <c r="I813" s="246"/>
    </row>
    <row r="814" spans="1:9" s="83" customFormat="1" ht="14.25">
      <c r="A814" s="99"/>
      <c r="B814" s="85"/>
      <c r="C814" s="44"/>
      <c r="D814" s="35"/>
      <c r="E814" s="26" t="s">
        <v>150</v>
      </c>
      <c r="F814" s="27"/>
      <c r="G814" s="26">
        <f>TRUNC(SUM(G813:G813),2)</f>
        <v>336.05</v>
      </c>
      <c r="H814" s="26"/>
      <c r="I814" s="246"/>
    </row>
    <row r="815" spans="1:9" s="83" customFormat="1" ht="42.75">
      <c r="A815" s="99"/>
      <c r="B815" s="85" t="s">
        <v>731</v>
      </c>
      <c r="C815" s="44" t="s">
        <v>732</v>
      </c>
      <c r="D815" s="35" t="s">
        <v>148</v>
      </c>
      <c r="E815" s="26">
        <v>1</v>
      </c>
      <c r="F815" s="43">
        <f>G818</f>
        <v>100.98</v>
      </c>
      <c r="G815" s="26">
        <f>TRUNC(E815*F815,2)</f>
        <v>100.98</v>
      </c>
      <c r="H815" s="26"/>
      <c r="I815" s="246"/>
    </row>
    <row r="816" spans="1:9" s="83" customFormat="1" ht="14.25">
      <c r="A816" s="99"/>
      <c r="B816" s="85" t="s">
        <v>733</v>
      </c>
      <c r="C816" s="44" t="s">
        <v>734</v>
      </c>
      <c r="D816" s="35" t="s">
        <v>148</v>
      </c>
      <c r="E816" s="26">
        <v>2</v>
      </c>
      <c r="F816" s="27">
        <f>TRUNC(16.95,2)</f>
        <v>16.95</v>
      </c>
      <c r="G816" s="26">
        <f>TRUNC(E816*F816,2)</f>
        <v>33.9</v>
      </c>
      <c r="H816" s="26"/>
      <c r="I816" s="246"/>
    </row>
    <row r="817" spans="1:9" s="83" customFormat="1" ht="14.25">
      <c r="A817" s="99"/>
      <c r="B817" s="85" t="s">
        <v>735</v>
      </c>
      <c r="C817" s="44" t="s">
        <v>736</v>
      </c>
      <c r="D817" s="35" t="s">
        <v>148</v>
      </c>
      <c r="E817" s="26">
        <v>4</v>
      </c>
      <c r="F817" s="27">
        <f>TRUNC(16.77,2)</f>
        <v>16.77</v>
      </c>
      <c r="G817" s="26">
        <f>TRUNC(E817*F817,2)</f>
        <v>67.08</v>
      </c>
      <c r="H817" s="26"/>
      <c r="I817" s="246"/>
    </row>
    <row r="818" spans="1:9" s="83" customFormat="1" ht="14.25">
      <c r="A818" s="99"/>
      <c r="B818" s="85"/>
      <c r="C818" s="44"/>
      <c r="D818" s="35"/>
      <c r="E818" s="26" t="s">
        <v>150</v>
      </c>
      <c r="F818" s="27"/>
      <c r="G818" s="26">
        <f>TRUNC(SUM(G816:G817),2)</f>
        <v>100.98</v>
      </c>
      <c r="H818" s="26"/>
      <c r="I818" s="246"/>
    </row>
    <row r="819" spans="1:9" s="186" customFormat="1" ht="85.5">
      <c r="A819" s="286" t="s">
        <v>188</v>
      </c>
      <c r="B819" s="287" t="s">
        <v>459</v>
      </c>
      <c r="C819" s="288" t="s">
        <v>549</v>
      </c>
      <c r="D819" s="286" t="s">
        <v>148</v>
      </c>
      <c r="E819" s="293">
        <v>15</v>
      </c>
      <c r="F819" s="293">
        <f>TRUNC(297.9,2)</f>
        <v>297.9</v>
      </c>
      <c r="G819" s="316">
        <f>TRUNC(F819*1.2882,2)</f>
        <v>383.75</v>
      </c>
      <c r="H819" s="316">
        <f>TRUNC(F819*E819,2)</f>
        <v>4468.5</v>
      </c>
      <c r="I819" s="317">
        <f>TRUNC(E819*G819,2)</f>
        <v>5756.25</v>
      </c>
    </row>
    <row r="820" spans="1:9" s="83" customFormat="1" ht="28.5">
      <c r="A820" s="35"/>
      <c r="B820" s="57" t="s">
        <v>63</v>
      </c>
      <c r="C820" s="44" t="s">
        <v>291</v>
      </c>
      <c r="D820" s="35" t="s">
        <v>148</v>
      </c>
      <c r="E820" s="26">
        <v>1</v>
      </c>
      <c r="F820" s="27">
        <f>TRUNC(286.89,2)</f>
        <v>286.89</v>
      </c>
      <c r="G820" s="26">
        <f>TRUNC(E820*F820,2)</f>
        <v>286.89</v>
      </c>
      <c r="H820" s="26"/>
      <c r="I820" s="27"/>
    </row>
    <row r="821" spans="1:9" s="83" customFormat="1" ht="14.25">
      <c r="A821" s="35"/>
      <c r="B821" s="57" t="s">
        <v>20</v>
      </c>
      <c r="C821" s="44" t="s">
        <v>550</v>
      </c>
      <c r="D821" s="35" t="s">
        <v>148</v>
      </c>
      <c r="E821" s="26">
        <v>3</v>
      </c>
      <c r="F821" s="27">
        <f>TRUNC(3.67,2)</f>
        <v>3.67</v>
      </c>
      <c r="G821" s="26">
        <f>TRUNC(E821*F821,2)</f>
        <v>11.01</v>
      </c>
      <c r="H821" s="26"/>
      <c r="I821" s="27"/>
    </row>
    <row r="822" spans="1:9" s="83" customFormat="1" ht="14.25">
      <c r="A822" s="35"/>
      <c r="B822" s="57"/>
      <c r="C822" s="44"/>
      <c r="D822" s="35"/>
      <c r="E822" s="26" t="s">
        <v>150</v>
      </c>
      <c r="F822" s="27"/>
      <c r="G822" s="26">
        <f>TRUNC(SUM(G820:G821),2)</f>
        <v>297.9</v>
      </c>
      <c r="H822" s="26"/>
      <c r="I822" s="27"/>
    </row>
    <row r="823" spans="1:9" s="186" customFormat="1" ht="85.5">
      <c r="A823" s="253" t="s">
        <v>189</v>
      </c>
      <c r="B823" s="254" t="s">
        <v>460</v>
      </c>
      <c r="C823" s="255" t="s">
        <v>553</v>
      </c>
      <c r="D823" s="253" t="s">
        <v>148</v>
      </c>
      <c r="E823" s="258">
        <v>5</v>
      </c>
      <c r="F823" s="258">
        <f>TRUNC(278.53,2)</f>
        <v>278.53</v>
      </c>
      <c r="G823" s="284">
        <f>TRUNC(F823*1.2882,2)</f>
        <v>358.8</v>
      </c>
      <c r="H823" s="284">
        <f>TRUNC(F823*E823,2)</f>
        <v>1392.65</v>
      </c>
      <c r="I823" s="285">
        <f>TRUNC(E823*G823,2)</f>
        <v>1794</v>
      </c>
    </row>
    <row r="824" spans="1:9" s="83" customFormat="1" ht="28.5">
      <c r="A824" s="35"/>
      <c r="B824" s="85" t="s">
        <v>334</v>
      </c>
      <c r="C824" s="44" t="s">
        <v>333</v>
      </c>
      <c r="D824" s="35" t="s">
        <v>148</v>
      </c>
      <c r="E824" s="27">
        <v>1</v>
      </c>
      <c r="F824" s="27">
        <f>TRUNC(267.52,2)</f>
        <v>267.52</v>
      </c>
      <c r="G824" s="26">
        <f>TRUNC(E824*F824,2)</f>
        <v>267.52</v>
      </c>
      <c r="H824" s="26"/>
      <c r="I824" s="27"/>
    </row>
    <row r="825" spans="1:9" s="83" customFormat="1" ht="14.25">
      <c r="A825" s="35"/>
      <c r="B825" s="85" t="s">
        <v>20</v>
      </c>
      <c r="C825" s="44" t="s">
        <v>550</v>
      </c>
      <c r="D825" s="35" t="s">
        <v>148</v>
      </c>
      <c r="E825" s="27">
        <v>3</v>
      </c>
      <c r="F825" s="27">
        <f>TRUNC(3.67,2)</f>
        <v>3.67</v>
      </c>
      <c r="G825" s="26">
        <f>TRUNC(E825*F825,2)</f>
        <v>11.01</v>
      </c>
      <c r="H825" s="26"/>
      <c r="I825" s="27"/>
    </row>
    <row r="826" spans="1:9" s="83" customFormat="1" ht="14.25">
      <c r="A826" s="35"/>
      <c r="B826" s="85"/>
      <c r="C826" s="44"/>
      <c r="D826" s="35"/>
      <c r="E826" s="27" t="s">
        <v>150</v>
      </c>
      <c r="F826" s="27"/>
      <c r="G826" s="26">
        <f>TRUNC(SUM(G824:G825),2)</f>
        <v>278.53</v>
      </c>
      <c r="H826" s="26"/>
      <c r="I826" s="27"/>
    </row>
    <row r="827" spans="1:9" s="186" customFormat="1" ht="29.25">
      <c r="A827" s="253" t="s">
        <v>190</v>
      </c>
      <c r="B827" s="254" t="s">
        <v>739</v>
      </c>
      <c r="C827" s="255" t="s">
        <v>741</v>
      </c>
      <c r="D827" s="253" t="s">
        <v>148</v>
      </c>
      <c r="E827" s="258">
        <v>1</v>
      </c>
      <c r="F827" s="258">
        <f>TRUNC(G828,2)</f>
        <v>245.19</v>
      </c>
      <c r="G827" s="284">
        <f>TRUNC(F827*1.2882,2)</f>
        <v>315.85</v>
      </c>
      <c r="H827" s="284">
        <f>TRUNC(F827*E827,2)</f>
        <v>245.19</v>
      </c>
      <c r="I827" s="285">
        <f>TRUNC(E827*G827,2)</f>
        <v>315.85</v>
      </c>
    </row>
    <row r="828" spans="1:9" s="147" customFormat="1" ht="42.75">
      <c r="A828" s="150"/>
      <c r="B828" s="151" t="s">
        <v>739</v>
      </c>
      <c r="C828" s="160" t="s">
        <v>740</v>
      </c>
      <c r="D828" s="161" t="s">
        <v>142</v>
      </c>
      <c r="E828" s="162">
        <f>1.5*0.5</f>
        <v>0.75</v>
      </c>
      <c r="F828" s="163">
        <f>G832</f>
        <v>326.93</v>
      </c>
      <c r="G828" s="163">
        <f>TRUNC(E828*F828,2)</f>
        <v>245.19</v>
      </c>
      <c r="H828" s="163"/>
      <c r="I828" s="128"/>
    </row>
    <row r="829" spans="1:9" s="147" customFormat="1" ht="14.25">
      <c r="A829" s="150"/>
      <c r="B829" s="151" t="s">
        <v>138</v>
      </c>
      <c r="C829" s="160" t="s">
        <v>286</v>
      </c>
      <c r="D829" s="161" t="s">
        <v>214</v>
      </c>
      <c r="E829" s="162">
        <v>12.177</v>
      </c>
      <c r="F829" s="163">
        <f>TRUNC(18.6,2)</f>
        <v>18.6</v>
      </c>
      <c r="G829" s="163">
        <f>TRUNC(E829*F829,2)</f>
        <v>226.49</v>
      </c>
      <c r="H829" s="163"/>
      <c r="I829" s="128"/>
    </row>
    <row r="830" spans="1:9" s="147" customFormat="1" ht="28.5">
      <c r="A830" s="150"/>
      <c r="B830" s="151" t="s">
        <v>386</v>
      </c>
      <c r="C830" s="160" t="s">
        <v>387</v>
      </c>
      <c r="D830" s="161" t="s">
        <v>45</v>
      </c>
      <c r="E830" s="162">
        <v>3.09</v>
      </c>
      <c r="F830" s="163">
        <f>TRUNC(13.08,2)</f>
        <v>13.08</v>
      </c>
      <c r="G830" s="163">
        <f>TRUNC(E830*F830,2)</f>
        <v>40.41</v>
      </c>
      <c r="H830" s="163"/>
      <c r="I830" s="128"/>
    </row>
    <row r="831" spans="1:9" s="147" customFormat="1" ht="28.5">
      <c r="A831" s="150"/>
      <c r="B831" s="151" t="s">
        <v>462</v>
      </c>
      <c r="C831" s="160" t="s">
        <v>463</v>
      </c>
      <c r="D831" s="161" t="s">
        <v>45</v>
      </c>
      <c r="E831" s="162">
        <v>3.09</v>
      </c>
      <c r="F831" s="163">
        <f>TRUNC(19.43,2)</f>
        <v>19.43</v>
      </c>
      <c r="G831" s="163">
        <f>TRUNC(E831*F831,2)</f>
        <v>60.03</v>
      </c>
      <c r="H831" s="163"/>
      <c r="I831" s="128"/>
    </row>
    <row r="832" spans="1:9" s="147" customFormat="1" ht="14.25">
      <c r="A832" s="150"/>
      <c r="B832" s="151"/>
      <c r="C832" s="160"/>
      <c r="D832" s="161"/>
      <c r="E832" s="162" t="s">
        <v>150</v>
      </c>
      <c r="F832" s="163"/>
      <c r="G832" s="163">
        <f>TRUNC(SUM(G829:G831),2)</f>
        <v>326.93</v>
      </c>
      <c r="H832" s="163"/>
      <c r="I832" s="128"/>
    </row>
    <row r="833" spans="1:9" s="186" customFormat="1" ht="43.5">
      <c r="A833" s="253" t="s">
        <v>191</v>
      </c>
      <c r="B833" s="254" t="s">
        <v>726</v>
      </c>
      <c r="C833" s="255" t="s">
        <v>725</v>
      </c>
      <c r="D833" s="253" t="s">
        <v>148</v>
      </c>
      <c r="E833" s="258">
        <v>8</v>
      </c>
      <c r="F833" s="258">
        <f>TRUNC(I834,2)</f>
        <v>305.09</v>
      </c>
      <c r="G833" s="284">
        <f>TRUNC(F833*1.2882,2)</f>
        <v>393.01</v>
      </c>
      <c r="H833" s="284">
        <f>TRUNC(F833*E833,2)</f>
        <v>2440.72</v>
      </c>
      <c r="I833" s="285">
        <f>TRUNC(E833*G833,2)</f>
        <v>3144.08</v>
      </c>
    </row>
    <row r="834" spans="1:11" s="147" customFormat="1" ht="57">
      <c r="A834" s="130"/>
      <c r="B834" s="148" t="s">
        <v>723</v>
      </c>
      <c r="C834" s="153" t="s">
        <v>724</v>
      </c>
      <c r="D834" s="130" t="s">
        <v>142</v>
      </c>
      <c r="E834" s="135">
        <f>0.9*0.9</f>
        <v>0.81</v>
      </c>
      <c r="F834" s="133">
        <f>G838</f>
        <v>376.66</v>
      </c>
      <c r="G834" s="133">
        <f>TRUNC(E834*F834,2)</f>
        <v>305.09</v>
      </c>
      <c r="H834" s="133"/>
      <c r="I834" s="141">
        <f>TRUNC(E834*F834,2)</f>
        <v>305.09</v>
      </c>
      <c r="K834" s="147">
        <f>0.9*0.9</f>
        <v>0.81</v>
      </c>
    </row>
    <row r="835" spans="1:9" s="147" customFormat="1" ht="15">
      <c r="A835" s="130"/>
      <c r="B835" s="148" t="s">
        <v>138</v>
      </c>
      <c r="C835" s="153" t="s">
        <v>286</v>
      </c>
      <c r="D835" s="130" t="s">
        <v>214</v>
      </c>
      <c r="E835" s="135">
        <v>13.049999999999999</v>
      </c>
      <c r="F835" s="133">
        <f>TRUNC(18.6,2)</f>
        <v>18.6</v>
      </c>
      <c r="G835" s="133">
        <f>TRUNC(E835*F835,2)</f>
        <v>242.73</v>
      </c>
      <c r="H835" s="133"/>
      <c r="I835" s="141"/>
    </row>
    <row r="836" spans="1:9" s="147" customFormat="1" ht="28.5">
      <c r="A836" s="130"/>
      <c r="B836" s="148" t="s">
        <v>386</v>
      </c>
      <c r="C836" s="153" t="s">
        <v>387</v>
      </c>
      <c r="D836" s="130" t="s">
        <v>45</v>
      </c>
      <c r="E836" s="135">
        <v>4.12</v>
      </c>
      <c r="F836" s="133">
        <f>TRUNC(13.08,2)</f>
        <v>13.08</v>
      </c>
      <c r="G836" s="133">
        <f>TRUNC(E836*F836,2)</f>
        <v>53.88</v>
      </c>
      <c r="H836" s="133"/>
      <c r="I836" s="141"/>
    </row>
    <row r="837" spans="1:9" s="147" customFormat="1" ht="28.5">
      <c r="A837" s="130"/>
      <c r="B837" s="148" t="s">
        <v>462</v>
      </c>
      <c r="C837" s="153" t="s">
        <v>463</v>
      </c>
      <c r="D837" s="130" t="s">
        <v>45</v>
      </c>
      <c r="E837" s="135">
        <v>4.12</v>
      </c>
      <c r="F837" s="133">
        <f>TRUNC(19.43,2)</f>
        <v>19.43</v>
      </c>
      <c r="G837" s="133">
        <f>TRUNC(E837*F837,2)</f>
        <v>80.05</v>
      </c>
      <c r="H837" s="133"/>
      <c r="I837" s="141"/>
    </row>
    <row r="838" spans="1:9" s="147" customFormat="1" ht="15">
      <c r="A838" s="130"/>
      <c r="B838" s="148"/>
      <c r="C838" s="153"/>
      <c r="D838" s="130"/>
      <c r="E838" s="135" t="s">
        <v>150</v>
      </c>
      <c r="F838" s="133"/>
      <c r="G838" s="133">
        <f>TRUNC(SUM(G835:G837),2)</f>
        <v>376.66</v>
      </c>
      <c r="H838" s="133"/>
      <c r="I838" s="141"/>
    </row>
    <row r="839" spans="1:9" s="186" customFormat="1" ht="43.5">
      <c r="A839" s="253" t="s">
        <v>192</v>
      </c>
      <c r="B839" s="254" t="s">
        <v>293</v>
      </c>
      <c r="C839" s="255" t="s">
        <v>554</v>
      </c>
      <c r="D839" s="253" t="s">
        <v>148</v>
      </c>
      <c r="E839" s="258">
        <v>6</v>
      </c>
      <c r="F839" s="258">
        <f>TRUNC(I840,2)</f>
        <v>602.67</v>
      </c>
      <c r="G839" s="284">
        <f>TRUNC(F839*1.2882,2)</f>
        <v>776.35</v>
      </c>
      <c r="H839" s="284">
        <f>TRUNC(F839*E839,2)</f>
        <v>3616.02</v>
      </c>
      <c r="I839" s="285">
        <f>TRUNC(E839*G839,2)</f>
        <v>4658.1</v>
      </c>
    </row>
    <row r="840" spans="1:11" s="147" customFormat="1" ht="57">
      <c r="A840" s="130"/>
      <c r="B840" s="148" t="s">
        <v>464</v>
      </c>
      <c r="C840" s="153" t="s">
        <v>379</v>
      </c>
      <c r="D840" s="130" t="s">
        <v>142</v>
      </c>
      <c r="E840" s="135">
        <v>1.8</v>
      </c>
      <c r="F840" s="133">
        <f>TRUNC(334.8212,2)</f>
        <v>334.82</v>
      </c>
      <c r="G840" s="133">
        <f>TRUNC(E840*F840,2)</f>
        <v>602.67</v>
      </c>
      <c r="H840" s="133"/>
      <c r="I840" s="141">
        <f>TRUNC(E840*F840,2)</f>
        <v>602.67</v>
      </c>
      <c r="K840" s="147">
        <f>1.5*1.2</f>
        <v>1.7999999999999998</v>
      </c>
    </row>
    <row r="841" spans="1:9" s="147" customFormat="1" ht="15">
      <c r="A841" s="130"/>
      <c r="B841" s="148" t="s">
        <v>138</v>
      </c>
      <c r="C841" s="153" t="s">
        <v>286</v>
      </c>
      <c r="D841" s="130" t="s">
        <v>214</v>
      </c>
      <c r="E841" s="135">
        <v>10.8</v>
      </c>
      <c r="F841" s="133">
        <f>TRUNC(18.6,2)</f>
        <v>18.6</v>
      </c>
      <c r="G841" s="133">
        <f>TRUNC(E841*F841,2)</f>
        <v>200.88</v>
      </c>
      <c r="H841" s="133"/>
      <c r="I841" s="141"/>
    </row>
    <row r="842" spans="1:9" s="147" customFormat="1" ht="28.5">
      <c r="A842" s="130"/>
      <c r="B842" s="148" t="s">
        <v>386</v>
      </c>
      <c r="C842" s="153" t="s">
        <v>387</v>
      </c>
      <c r="D842" s="130" t="s">
        <v>45</v>
      </c>
      <c r="E842" s="135">
        <v>4.12</v>
      </c>
      <c r="F842" s="133">
        <f>TRUNC(13.08,2)</f>
        <v>13.08</v>
      </c>
      <c r="G842" s="133">
        <f>TRUNC(E842*F842,2)</f>
        <v>53.88</v>
      </c>
      <c r="H842" s="133"/>
      <c r="I842" s="141"/>
    </row>
    <row r="843" spans="1:9" s="147" customFormat="1" ht="28.5">
      <c r="A843" s="130"/>
      <c r="B843" s="148" t="s">
        <v>462</v>
      </c>
      <c r="C843" s="153" t="s">
        <v>463</v>
      </c>
      <c r="D843" s="130" t="s">
        <v>45</v>
      </c>
      <c r="E843" s="135">
        <v>4.12</v>
      </c>
      <c r="F843" s="133">
        <f>TRUNC(19.43,2)</f>
        <v>19.43</v>
      </c>
      <c r="G843" s="133">
        <f>TRUNC(E843*F843,2)</f>
        <v>80.05</v>
      </c>
      <c r="H843" s="133"/>
      <c r="I843" s="141"/>
    </row>
    <row r="844" spans="1:9" s="147" customFormat="1" ht="15">
      <c r="A844" s="130"/>
      <c r="B844" s="148"/>
      <c r="C844" s="153"/>
      <c r="D844" s="130"/>
      <c r="E844" s="135" t="s">
        <v>150</v>
      </c>
      <c r="F844" s="133"/>
      <c r="G844" s="133">
        <f>TRUNC(SUM(G841:G843),2)</f>
        <v>334.81</v>
      </c>
      <c r="H844" s="133"/>
      <c r="I844" s="141"/>
    </row>
    <row r="845" spans="1:9" s="22" customFormat="1" ht="15">
      <c r="A845" s="86" t="s">
        <v>491</v>
      </c>
      <c r="B845" s="82"/>
      <c r="C845" s="46" t="s">
        <v>193</v>
      </c>
      <c r="D845" s="112"/>
      <c r="E845" s="47"/>
      <c r="F845" s="48"/>
      <c r="G845" s="48"/>
      <c r="H845" s="49">
        <f>H776+H785+H794+H803+H808+H811+H819+H823+H827+H833+H839</f>
        <v>25527.380000000005</v>
      </c>
      <c r="I845" s="49">
        <f>I776+I785+I794+I803+I808+I811+I819+I823+I827+I833+I839</f>
        <v>32884.02</v>
      </c>
    </row>
    <row r="846" spans="1:9" ht="15">
      <c r="A846" s="81" t="s">
        <v>128</v>
      </c>
      <c r="B846" s="93"/>
      <c r="C846" s="63" t="s">
        <v>52</v>
      </c>
      <c r="D846" s="113"/>
      <c r="E846" s="63"/>
      <c r="F846" s="63"/>
      <c r="G846" s="63"/>
      <c r="H846" s="63"/>
      <c r="I846" s="63"/>
    </row>
    <row r="847" spans="1:9" s="201" customFormat="1" ht="72">
      <c r="A847" s="253" t="s">
        <v>129</v>
      </c>
      <c r="B847" s="254" t="s">
        <v>471</v>
      </c>
      <c r="C847" s="255" t="s">
        <v>497</v>
      </c>
      <c r="D847" s="318" t="s">
        <v>142</v>
      </c>
      <c r="E847" s="258">
        <v>569.29</v>
      </c>
      <c r="F847" s="258">
        <f>TRUNC(I853,2)</f>
        <v>13.86</v>
      </c>
      <c r="G847" s="257">
        <f>TRUNC(F847*1.2882,2)</f>
        <v>17.85</v>
      </c>
      <c r="H847" s="257">
        <f>TRUNC(F847*E847,2)</f>
        <v>7890.35</v>
      </c>
      <c r="I847" s="258">
        <f>TRUNC(E847*G847,2)</f>
        <v>10161.82</v>
      </c>
    </row>
    <row r="848" spans="1:9" s="83" customFormat="1" ht="14.25">
      <c r="A848" s="35"/>
      <c r="B848" s="85" t="s">
        <v>366</v>
      </c>
      <c r="C848" s="44" t="s">
        <v>367</v>
      </c>
      <c r="D848" s="108" t="s">
        <v>148</v>
      </c>
      <c r="E848" s="27">
        <v>0.5</v>
      </c>
      <c r="F848" s="27">
        <v>0.69</v>
      </c>
      <c r="G848" s="27"/>
      <c r="H848" s="27"/>
      <c r="I848" s="62">
        <f>TRUNC(E848*F848,2)</f>
        <v>0.34</v>
      </c>
    </row>
    <row r="849" spans="1:9" s="83" customFormat="1" ht="14.25">
      <c r="A849" s="35"/>
      <c r="B849" s="85" t="s">
        <v>79</v>
      </c>
      <c r="C849" s="44" t="s">
        <v>295</v>
      </c>
      <c r="D849" s="108" t="s">
        <v>136</v>
      </c>
      <c r="E849" s="27">
        <v>0.04</v>
      </c>
      <c r="F849" s="27">
        <v>14.51</v>
      </c>
      <c r="G849" s="27"/>
      <c r="H849" s="27"/>
      <c r="I849" s="62">
        <f>TRUNC(E849*F849,2)</f>
        <v>0.58</v>
      </c>
    </row>
    <row r="850" spans="1:9" s="83" customFormat="1" ht="28.5">
      <c r="A850" s="35"/>
      <c r="B850" s="85" t="s">
        <v>78</v>
      </c>
      <c r="C850" s="44" t="s">
        <v>368</v>
      </c>
      <c r="D850" s="108" t="s">
        <v>148</v>
      </c>
      <c r="E850" s="27">
        <v>0.012</v>
      </c>
      <c r="F850" s="27">
        <v>341.42</v>
      </c>
      <c r="G850" s="27"/>
      <c r="H850" s="27"/>
      <c r="I850" s="62">
        <f>TRUNC(E850*F850,2)</f>
        <v>4.09</v>
      </c>
    </row>
    <row r="851" spans="1:9" s="83" customFormat="1" ht="28.5">
      <c r="A851" s="35"/>
      <c r="B851" s="85" t="s">
        <v>386</v>
      </c>
      <c r="C851" s="44" t="s">
        <v>387</v>
      </c>
      <c r="D851" s="108" t="s">
        <v>45</v>
      </c>
      <c r="E851" s="27">
        <v>0.18025</v>
      </c>
      <c r="F851" s="27">
        <v>13.08</v>
      </c>
      <c r="G851" s="27"/>
      <c r="H851" s="27"/>
      <c r="I851" s="62">
        <f>TRUNC(E851*F851,2)</f>
        <v>2.35</v>
      </c>
    </row>
    <row r="852" spans="1:9" s="83" customFormat="1" ht="14.25">
      <c r="A852" s="35"/>
      <c r="B852" s="85" t="s">
        <v>472</v>
      </c>
      <c r="C852" s="44" t="s">
        <v>473</v>
      </c>
      <c r="D852" s="108" t="s">
        <v>45</v>
      </c>
      <c r="E852" s="27">
        <v>0.3605</v>
      </c>
      <c r="F852" s="27">
        <v>18.05</v>
      </c>
      <c r="G852" s="27"/>
      <c r="H852" s="27"/>
      <c r="I852" s="62">
        <f>TRUNC(E852*F852,2)</f>
        <v>6.5</v>
      </c>
    </row>
    <row r="853" spans="1:9" s="83" customFormat="1" ht="14.25">
      <c r="A853" s="35"/>
      <c r="B853" s="85"/>
      <c r="C853" s="44"/>
      <c r="D853" s="108"/>
      <c r="E853" s="27" t="s">
        <v>150</v>
      </c>
      <c r="F853" s="27"/>
      <c r="G853" s="27"/>
      <c r="H853" s="27"/>
      <c r="I853" s="62">
        <f>TRUNC(SUM(I848:I852),2)</f>
        <v>13.86</v>
      </c>
    </row>
    <row r="854" spans="1:9" s="201" customFormat="1" ht="71.25">
      <c r="A854" s="253" t="s">
        <v>130</v>
      </c>
      <c r="B854" s="319" t="s">
        <v>474</v>
      </c>
      <c r="C854" s="265" t="s">
        <v>187</v>
      </c>
      <c r="D854" s="318" t="s">
        <v>142</v>
      </c>
      <c r="E854" s="264">
        <v>103.32</v>
      </c>
      <c r="F854" s="258">
        <f>TRUNC((F855+F863),2)</f>
        <v>44.96</v>
      </c>
      <c r="G854" s="257">
        <f>TRUNC(F854*1.2882,2)</f>
        <v>57.91</v>
      </c>
      <c r="H854" s="257">
        <f>TRUNC(F854*E854,2)</f>
        <v>4645.26</v>
      </c>
      <c r="I854" s="258">
        <f>TRUNC(E854*G854,2)</f>
        <v>5983.26</v>
      </c>
    </row>
    <row r="855" spans="1:9" ht="57">
      <c r="A855" s="35"/>
      <c r="B855" s="65" t="s">
        <v>475</v>
      </c>
      <c r="C855" s="23" t="s">
        <v>380</v>
      </c>
      <c r="D855" s="108" t="s">
        <v>142</v>
      </c>
      <c r="E855" s="25">
        <v>1</v>
      </c>
      <c r="F855" s="64">
        <f>TRUNC(I862,2)</f>
        <v>32.6</v>
      </c>
      <c r="G855" s="64"/>
      <c r="H855" s="64"/>
      <c r="I855" s="25">
        <f aca="true" t="shared" si="37" ref="I855:I861">TRUNC(E855*F855,2)</f>
        <v>32.6</v>
      </c>
    </row>
    <row r="856" spans="1:9" ht="15">
      <c r="A856" s="35"/>
      <c r="B856" s="65" t="s">
        <v>139</v>
      </c>
      <c r="C856" s="23" t="s">
        <v>301</v>
      </c>
      <c r="D856" s="108" t="s">
        <v>136</v>
      </c>
      <c r="E856" s="25">
        <v>0.04</v>
      </c>
      <c r="F856" s="42">
        <v>54.62</v>
      </c>
      <c r="G856" s="64"/>
      <c r="H856" s="64"/>
      <c r="I856" s="25">
        <f t="shared" si="37"/>
        <v>2.18</v>
      </c>
    </row>
    <row r="857" spans="1:9" ht="15">
      <c r="A857" s="35"/>
      <c r="B857" s="65" t="s">
        <v>82</v>
      </c>
      <c r="C857" s="23" t="s">
        <v>300</v>
      </c>
      <c r="D857" s="108" t="s">
        <v>136</v>
      </c>
      <c r="E857" s="25">
        <v>0.23</v>
      </c>
      <c r="F857" s="42">
        <v>35.28</v>
      </c>
      <c r="G857" s="64"/>
      <c r="H857" s="64"/>
      <c r="I857" s="25">
        <f t="shared" si="37"/>
        <v>8.11</v>
      </c>
    </row>
    <row r="858" spans="1:9" ht="15">
      <c r="A858" s="35"/>
      <c r="B858" s="65" t="s">
        <v>81</v>
      </c>
      <c r="C858" s="23" t="s">
        <v>299</v>
      </c>
      <c r="D858" s="108" t="s">
        <v>148</v>
      </c>
      <c r="E858" s="25">
        <v>1</v>
      </c>
      <c r="F858" s="42">
        <v>0.43</v>
      </c>
      <c r="G858" s="64"/>
      <c r="H858" s="64"/>
      <c r="I858" s="25">
        <f t="shared" si="37"/>
        <v>0.43</v>
      </c>
    </row>
    <row r="859" spans="1:9" ht="15">
      <c r="A859" s="35"/>
      <c r="B859" s="65" t="s">
        <v>80</v>
      </c>
      <c r="C859" s="23" t="s">
        <v>298</v>
      </c>
      <c r="D859" s="108" t="s">
        <v>136</v>
      </c>
      <c r="E859" s="25">
        <v>0.03</v>
      </c>
      <c r="F859" s="42">
        <v>54.62</v>
      </c>
      <c r="G859" s="64"/>
      <c r="H859" s="64"/>
      <c r="I859" s="25">
        <f t="shared" si="37"/>
        <v>1.63</v>
      </c>
    </row>
    <row r="860" spans="1:9" ht="28.5">
      <c r="A860" s="35"/>
      <c r="B860" s="65" t="s">
        <v>386</v>
      </c>
      <c r="C860" s="23" t="s">
        <v>387</v>
      </c>
      <c r="D860" s="108" t="s">
        <v>45</v>
      </c>
      <c r="E860" s="25">
        <v>0.41200000000000003</v>
      </c>
      <c r="F860" s="42">
        <v>13.08</v>
      </c>
      <c r="G860" s="64"/>
      <c r="H860" s="64"/>
      <c r="I860" s="25">
        <f t="shared" si="37"/>
        <v>5.38</v>
      </c>
    </row>
    <row r="861" spans="1:9" ht="15">
      <c r="A861" s="35"/>
      <c r="B861" s="65" t="s">
        <v>472</v>
      </c>
      <c r="C861" s="23" t="s">
        <v>473</v>
      </c>
      <c r="D861" s="108" t="s">
        <v>45</v>
      </c>
      <c r="E861" s="25">
        <v>0.8240000000000001</v>
      </c>
      <c r="F861" s="42">
        <v>18.05</v>
      </c>
      <c r="G861" s="64"/>
      <c r="H861" s="64"/>
      <c r="I861" s="25">
        <f t="shared" si="37"/>
        <v>14.87</v>
      </c>
    </row>
    <row r="862" spans="1:9" ht="15">
      <c r="A862" s="35"/>
      <c r="B862" s="65"/>
      <c r="C862" s="23"/>
      <c r="D862" s="108"/>
      <c r="E862" s="25" t="s">
        <v>150</v>
      </c>
      <c r="F862" s="64"/>
      <c r="G862" s="64"/>
      <c r="H862" s="64"/>
      <c r="I862" s="25">
        <f>TRUNC(SUM(I856:I861),2)</f>
        <v>32.6</v>
      </c>
    </row>
    <row r="863" spans="1:9" ht="57">
      <c r="A863" s="33"/>
      <c r="B863" s="66" t="s">
        <v>476</v>
      </c>
      <c r="C863" s="34" t="s">
        <v>381</v>
      </c>
      <c r="D863" s="109" t="s">
        <v>142</v>
      </c>
      <c r="E863" s="29">
        <v>1</v>
      </c>
      <c r="F863" s="67">
        <f>TRUNC(I868,2)</f>
        <v>12.36</v>
      </c>
      <c r="G863" s="67"/>
      <c r="H863" s="67"/>
      <c r="I863" s="29">
        <f>TRUNC(E863*F863,2)</f>
        <v>12.36</v>
      </c>
    </row>
    <row r="864" spans="1:9" ht="15">
      <c r="A864" s="33"/>
      <c r="B864" s="66" t="s">
        <v>81</v>
      </c>
      <c r="C864" s="34" t="s">
        <v>299</v>
      </c>
      <c r="D864" s="109" t="s">
        <v>148</v>
      </c>
      <c r="E864" s="29">
        <v>1</v>
      </c>
      <c r="F864" s="387">
        <v>0.43</v>
      </c>
      <c r="G864" s="67"/>
      <c r="H864" s="67"/>
      <c r="I864" s="29">
        <f>TRUNC(E864*F864,2)</f>
        <v>0.43</v>
      </c>
    </row>
    <row r="865" spans="1:9" ht="15">
      <c r="A865" s="33"/>
      <c r="B865" s="66" t="s">
        <v>117</v>
      </c>
      <c r="C865" s="34" t="s">
        <v>302</v>
      </c>
      <c r="D865" s="109" t="s">
        <v>136</v>
      </c>
      <c r="E865" s="29">
        <v>0.05</v>
      </c>
      <c r="F865" s="387">
        <v>54.83</v>
      </c>
      <c r="G865" s="67"/>
      <c r="H865" s="67"/>
      <c r="I865" s="29">
        <f>TRUNC(E865*F865,2)</f>
        <v>2.74</v>
      </c>
    </row>
    <row r="866" spans="1:9" ht="28.5">
      <c r="A866" s="33"/>
      <c r="B866" s="66" t="s">
        <v>386</v>
      </c>
      <c r="C866" s="34" t="s">
        <v>387</v>
      </c>
      <c r="D866" s="109" t="s">
        <v>45</v>
      </c>
      <c r="E866" s="29">
        <v>0.20600000000000002</v>
      </c>
      <c r="F866" s="387">
        <v>13.08</v>
      </c>
      <c r="G866" s="67"/>
      <c r="H866" s="67"/>
      <c r="I866" s="29">
        <f>TRUNC(E866*F866,2)</f>
        <v>2.69</v>
      </c>
    </row>
    <row r="867" spans="1:9" ht="15">
      <c r="A867" s="33"/>
      <c r="B867" s="66" t="s">
        <v>472</v>
      </c>
      <c r="C867" s="34" t="s">
        <v>473</v>
      </c>
      <c r="D867" s="109" t="s">
        <v>45</v>
      </c>
      <c r="E867" s="29">
        <v>0.3605</v>
      </c>
      <c r="F867" s="387">
        <v>18.05</v>
      </c>
      <c r="G867" s="67"/>
      <c r="H867" s="67"/>
      <c r="I867" s="29">
        <f>TRUNC(E867*F867,2)</f>
        <v>6.5</v>
      </c>
    </row>
    <row r="868" spans="1:9" ht="15">
      <c r="A868" s="33"/>
      <c r="B868" s="66"/>
      <c r="C868" s="34"/>
      <c r="D868" s="109"/>
      <c r="E868" s="29" t="s">
        <v>150</v>
      </c>
      <c r="F868" s="67"/>
      <c r="G868" s="67"/>
      <c r="H868" s="67"/>
      <c r="I868" s="29">
        <f>TRUNC(SUM(I864:I867),2)</f>
        <v>12.36</v>
      </c>
    </row>
    <row r="869" spans="1:9" s="201" customFormat="1" ht="42.75">
      <c r="A869" s="253" t="s">
        <v>131</v>
      </c>
      <c r="B869" s="319" t="s">
        <v>477</v>
      </c>
      <c r="C869" s="265" t="s">
        <v>369</v>
      </c>
      <c r="D869" s="318" t="s">
        <v>142</v>
      </c>
      <c r="E869" s="257">
        <v>16.07</v>
      </c>
      <c r="F869" s="258">
        <f>TRUNC(I875,2)</f>
        <v>12.26</v>
      </c>
      <c r="G869" s="257">
        <f>TRUNC(F869*1.2882,2)</f>
        <v>15.79</v>
      </c>
      <c r="H869" s="257">
        <f>TRUNC(F869*E869,2)</f>
        <v>197.01</v>
      </c>
      <c r="I869" s="258">
        <f>TRUNC(E869*G869,2)</f>
        <v>253.74</v>
      </c>
    </row>
    <row r="870" spans="1:9" s="83" customFormat="1" ht="14.25">
      <c r="A870" s="35"/>
      <c r="B870" s="65" t="s">
        <v>104</v>
      </c>
      <c r="C870" s="23" t="s">
        <v>297</v>
      </c>
      <c r="D870" s="108" t="s">
        <v>136</v>
      </c>
      <c r="E870" s="25">
        <v>0.03</v>
      </c>
      <c r="F870" s="27">
        <v>63.73</v>
      </c>
      <c r="G870" s="27"/>
      <c r="H870" s="27"/>
      <c r="I870" s="62">
        <f>TRUNC(E870*F870,2)</f>
        <v>1.91</v>
      </c>
    </row>
    <row r="871" spans="1:9" s="83" customFormat="1" ht="14.25">
      <c r="A871" s="35"/>
      <c r="B871" s="65" t="s">
        <v>76</v>
      </c>
      <c r="C871" s="23" t="s">
        <v>230</v>
      </c>
      <c r="D871" s="108" t="s">
        <v>148</v>
      </c>
      <c r="E871" s="25">
        <v>0.5</v>
      </c>
      <c r="F871" s="27">
        <v>0.72</v>
      </c>
      <c r="G871" s="27"/>
      <c r="H871" s="27"/>
      <c r="I871" s="62">
        <f>TRUNC(E871*F871,2)</f>
        <v>0.36</v>
      </c>
    </row>
    <row r="872" spans="1:9" s="83" customFormat="1" ht="14.25">
      <c r="A872" s="35"/>
      <c r="B872" s="65" t="s">
        <v>137</v>
      </c>
      <c r="C872" s="23" t="s">
        <v>296</v>
      </c>
      <c r="D872" s="108" t="s">
        <v>136</v>
      </c>
      <c r="E872" s="25">
        <v>0.03</v>
      </c>
      <c r="F872" s="27">
        <v>57.05</v>
      </c>
      <c r="G872" s="27"/>
      <c r="H872" s="27"/>
      <c r="I872" s="62">
        <f>TRUNC(E872*F872,2)</f>
        <v>1.71</v>
      </c>
    </row>
    <row r="873" spans="1:9" s="83" customFormat="1" ht="28.5">
      <c r="A873" s="35"/>
      <c r="B873" s="65" t="s">
        <v>386</v>
      </c>
      <c r="C873" s="23" t="s">
        <v>387</v>
      </c>
      <c r="D873" s="108" t="s">
        <v>45</v>
      </c>
      <c r="E873" s="25">
        <v>0.1648</v>
      </c>
      <c r="F873" s="27">
        <v>13.08</v>
      </c>
      <c r="G873" s="27"/>
      <c r="H873" s="27"/>
      <c r="I873" s="62">
        <f>TRUNC(E873*F873,2)</f>
        <v>2.15</v>
      </c>
    </row>
    <row r="874" spans="1:9" s="83" customFormat="1" ht="14.25">
      <c r="A874" s="35"/>
      <c r="B874" s="65" t="s">
        <v>472</v>
      </c>
      <c r="C874" s="23" t="s">
        <v>473</v>
      </c>
      <c r="D874" s="108" t="s">
        <v>45</v>
      </c>
      <c r="E874" s="25">
        <v>0.33990000000000004</v>
      </c>
      <c r="F874" s="27">
        <v>18.05</v>
      </c>
      <c r="G874" s="27"/>
      <c r="H874" s="27"/>
      <c r="I874" s="62">
        <f>TRUNC(E874*F874,2)</f>
        <v>6.13</v>
      </c>
    </row>
    <row r="875" spans="1:9" s="83" customFormat="1" ht="14.25">
      <c r="A875" s="35"/>
      <c r="B875" s="65"/>
      <c r="C875" s="23"/>
      <c r="D875" s="108"/>
      <c r="E875" s="25" t="s">
        <v>150</v>
      </c>
      <c r="F875" s="27"/>
      <c r="G875" s="27"/>
      <c r="H875" s="27"/>
      <c r="I875" s="62">
        <f>TRUNC(SUM(I870:I874),2)</f>
        <v>12.26</v>
      </c>
    </row>
    <row r="876" spans="1:9" s="201" customFormat="1" ht="72">
      <c r="A876" s="253" t="s">
        <v>132</v>
      </c>
      <c r="B876" s="319" t="s">
        <v>478</v>
      </c>
      <c r="C876" s="265" t="s">
        <v>338</v>
      </c>
      <c r="D876" s="318" t="s">
        <v>142</v>
      </c>
      <c r="E876" s="264">
        <v>294</v>
      </c>
      <c r="F876" s="258">
        <f>TRUNC((F877+F884),2)</f>
        <v>48.53</v>
      </c>
      <c r="G876" s="257">
        <f>TRUNC(F876*1.2882,2)</f>
        <v>62.51</v>
      </c>
      <c r="H876" s="257">
        <f>TRUNC(F876*E876,2)</f>
        <v>14267.82</v>
      </c>
      <c r="I876" s="258">
        <f>TRUNC(E876*G876,2)</f>
        <v>18377.94</v>
      </c>
    </row>
    <row r="877" spans="1:9" ht="71.25">
      <c r="A877" s="33"/>
      <c r="B877" s="66" t="s">
        <v>488</v>
      </c>
      <c r="C877" s="34" t="s">
        <v>382</v>
      </c>
      <c r="D877" s="109" t="s">
        <v>142</v>
      </c>
      <c r="E877" s="29">
        <v>1</v>
      </c>
      <c r="F877" s="67">
        <f>TRUNC(I883,2)</f>
        <v>30.5</v>
      </c>
      <c r="G877" s="67"/>
      <c r="H877" s="67"/>
      <c r="I877" s="27">
        <f aca="true" t="shared" si="38" ref="I877:I882">TRUNC(E877*F877,2)</f>
        <v>30.5</v>
      </c>
    </row>
    <row r="878" spans="1:9" ht="15">
      <c r="A878" s="33"/>
      <c r="B878" s="66" t="s">
        <v>305</v>
      </c>
      <c r="C878" s="34" t="s">
        <v>304</v>
      </c>
      <c r="D878" s="109" t="s">
        <v>148</v>
      </c>
      <c r="E878" s="29">
        <v>0.054</v>
      </c>
      <c r="F878" s="387">
        <v>55.73</v>
      </c>
      <c r="G878" s="67"/>
      <c r="H878" s="67"/>
      <c r="I878" s="27">
        <f t="shared" si="38"/>
        <v>3</v>
      </c>
    </row>
    <row r="879" spans="1:9" ht="15">
      <c r="A879" s="33"/>
      <c r="B879" s="66" t="s">
        <v>81</v>
      </c>
      <c r="C879" s="34" t="s">
        <v>299</v>
      </c>
      <c r="D879" s="109" t="s">
        <v>148</v>
      </c>
      <c r="E879" s="29">
        <v>1</v>
      </c>
      <c r="F879" s="387">
        <v>0.43</v>
      </c>
      <c r="G879" s="67"/>
      <c r="H879" s="67"/>
      <c r="I879" s="27">
        <f t="shared" si="38"/>
        <v>0.43</v>
      </c>
    </row>
    <row r="880" spans="1:9" ht="15">
      <c r="A880" s="33"/>
      <c r="B880" s="66" t="s">
        <v>137</v>
      </c>
      <c r="C880" s="34" t="s">
        <v>296</v>
      </c>
      <c r="D880" s="109" t="s">
        <v>136</v>
      </c>
      <c r="E880" s="29">
        <v>0.065</v>
      </c>
      <c r="F880" s="387">
        <v>57.05</v>
      </c>
      <c r="G880" s="67"/>
      <c r="H880" s="67"/>
      <c r="I880" s="27">
        <f t="shared" si="38"/>
        <v>3.7</v>
      </c>
    </row>
    <row r="881" spans="1:9" ht="15">
      <c r="A881" s="33"/>
      <c r="B881" s="66" t="s">
        <v>44</v>
      </c>
      <c r="C881" s="34" t="s">
        <v>216</v>
      </c>
      <c r="D881" s="109" t="s">
        <v>45</v>
      </c>
      <c r="E881" s="29">
        <v>0.41200000000000003</v>
      </c>
      <c r="F881" s="387">
        <v>15.09</v>
      </c>
      <c r="G881" s="67"/>
      <c r="H881" s="67"/>
      <c r="I881" s="27">
        <f t="shared" si="38"/>
        <v>6.21</v>
      </c>
    </row>
    <row r="882" spans="1:9" ht="15">
      <c r="A882" s="33"/>
      <c r="B882" s="66" t="s">
        <v>77</v>
      </c>
      <c r="C882" s="34" t="s">
        <v>294</v>
      </c>
      <c r="D882" s="109" t="s">
        <v>45</v>
      </c>
      <c r="E882" s="29">
        <v>0.8240000000000001</v>
      </c>
      <c r="F882" s="387">
        <v>20.83</v>
      </c>
      <c r="G882" s="67"/>
      <c r="H882" s="67"/>
      <c r="I882" s="27">
        <f t="shared" si="38"/>
        <v>17.16</v>
      </c>
    </row>
    <row r="883" spans="1:9" ht="15">
      <c r="A883" s="33"/>
      <c r="B883" s="66"/>
      <c r="C883" s="34"/>
      <c r="D883" s="109"/>
      <c r="E883" s="29" t="s">
        <v>150</v>
      </c>
      <c r="F883" s="67"/>
      <c r="G883" s="67"/>
      <c r="H883" s="67"/>
      <c r="I883" s="27">
        <f>TRUNC(SUM(I878:I882),2)</f>
        <v>30.5</v>
      </c>
    </row>
    <row r="884" spans="1:9" ht="57">
      <c r="A884" s="33"/>
      <c r="B884" s="66" t="s">
        <v>479</v>
      </c>
      <c r="C884" s="34" t="s">
        <v>383</v>
      </c>
      <c r="D884" s="109" t="s">
        <v>142</v>
      </c>
      <c r="E884" s="29">
        <v>1</v>
      </c>
      <c r="F884" s="67">
        <f>TRUNC(I890,2)</f>
        <v>18.03</v>
      </c>
      <c r="G884" s="67"/>
      <c r="H884" s="67"/>
      <c r="I884" s="27">
        <f aca="true" t="shared" si="39" ref="I884:I889">TRUNC(E884*F884,2)</f>
        <v>18.03</v>
      </c>
    </row>
    <row r="885" spans="1:9" ht="15">
      <c r="A885" s="33"/>
      <c r="B885" s="66" t="s">
        <v>307</v>
      </c>
      <c r="C885" s="34" t="s">
        <v>306</v>
      </c>
      <c r="D885" s="109" t="s">
        <v>136</v>
      </c>
      <c r="E885" s="29">
        <v>0.03</v>
      </c>
      <c r="F885" s="387">
        <v>30.66</v>
      </c>
      <c r="G885" s="67"/>
      <c r="H885" s="67"/>
      <c r="I885" s="27">
        <f t="shared" si="39"/>
        <v>0.91</v>
      </c>
    </row>
    <row r="886" spans="1:9" ht="15">
      <c r="A886" s="33"/>
      <c r="B886" s="66" t="s">
        <v>305</v>
      </c>
      <c r="C886" s="34" t="s">
        <v>304</v>
      </c>
      <c r="D886" s="109" t="s">
        <v>148</v>
      </c>
      <c r="E886" s="29">
        <v>0.027</v>
      </c>
      <c r="F886" s="387">
        <v>55.73</v>
      </c>
      <c r="G886" s="67"/>
      <c r="H886" s="67"/>
      <c r="I886" s="27">
        <f t="shared" si="39"/>
        <v>1.5</v>
      </c>
    </row>
    <row r="887" spans="1:9" ht="15">
      <c r="A887" s="33"/>
      <c r="B887" s="66" t="s">
        <v>81</v>
      </c>
      <c r="C887" s="34" t="s">
        <v>299</v>
      </c>
      <c r="D887" s="109" t="s">
        <v>148</v>
      </c>
      <c r="E887" s="29">
        <v>1</v>
      </c>
      <c r="F887" s="387">
        <v>0.43</v>
      </c>
      <c r="G887" s="67"/>
      <c r="H887" s="67"/>
      <c r="I887" s="27">
        <f t="shared" si="39"/>
        <v>0.43</v>
      </c>
    </row>
    <row r="888" spans="1:9" ht="28.5">
      <c r="A888" s="33"/>
      <c r="B888" s="66" t="s">
        <v>386</v>
      </c>
      <c r="C888" s="34" t="s">
        <v>387</v>
      </c>
      <c r="D888" s="109" t="s">
        <v>45</v>
      </c>
      <c r="E888" s="29">
        <v>0.309</v>
      </c>
      <c r="F888" s="387">
        <v>13.08</v>
      </c>
      <c r="G888" s="67"/>
      <c r="H888" s="67"/>
      <c r="I888" s="27">
        <f t="shared" si="39"/>
        <v>4.04</v>
      </c>
    </row>
    <row r="889" spans="1:9" ht="15">
      <c r="A889" s="33"/>
      <c r="B889" s="66" t="s">
        <v>472</v>
      </c>
      <c r="C889" s="34" t="s">
        <v>473</v>
      </c>
      <c r="D889" s="109" t="s">
        <v>45</v>
      </c>
      <c r="E889" s="29">
        <v>0.618</v>
      </c>
      <c r="F889" s="387">
        <v>18.05</v>
      </c>
      <c r="G889" s="67"/>
      <c r="H889" s="67"/>
      <c r="I889" s="27">
        <f t="shared" si="39"/>
        <v>11.15</v>
      </c>
    </row>
    <row r="890" spans="1:9" ht="15">
      <c r="A890" s="33"/>
      <c r="B890" s="66"/>
      <c r="C890" s="34"/>
      <c r="D890" s="109"/>
      <c r="E890" s="29" t="s">
        <v>150</v>
      </c>
      <c r="F890" s="67"/>
      <c r="G890" s="67"/>
      <c r="H890" s="67"/>
      <c r="I890" s="27">
        <f>TRUNC(SUM(I885:I889),2)</f>
        <v>18.03</v>
      </c>
    </row>
    <row r="891" spans="1:9" s="201" customFormat="1" ht="72">
      <c r="A891" s="253" t="s">
        <v>65</v>
      </c>
      <c r="B891" s="254" t="s">
        <v>471</v>
      </c>
      <c r="C891" s="255" t="s">
        <v>498</v>
      </c>
      <c r="D891" s="318" t="s">
        <v>142</v>
      </c>
      <c r="E891" s="258">
        <v>341.88</v>
      </c>
      <c r="F891" s="258">
        <f>TRUNC(I897,2)</f>
        <v>13.59</v>
      </c>
      <c r="G891" s="257">
        <f>TRUNC(F891*1.2882,2)</f>
        <v>17.5</v>
      </c>
      <c r="H891" s="257">
        <f>TRUNC(F891*E891,2)</f>
        <v>4646.14</v>
      </c>
      <c r="I891" s="258">
        <f>TRUNC(E891*G891,2)</f>
        <v>5982.9</v>
      </c>
    </row>
    <row r="892" spans="1:9" s="83" customFormat="1" ht="14.25">
      <c r="A892" s="35"/>
      <c r="B892" s="85" t="s">
        <v>366</v>
      </c>
      <c r="C892" s="44" t="s">
        <v>367</v>
      </c>
      <c r="D892" s="108" t="s">
        <v>148</v>
      </c>
      <c r="E892" s="27">
        <v>0.5</v>
      </c>
      <c r="F892" s="27">
        <v>0.69</v>
      </c>
      <c r="G892" s="27"/>
      <c r="H892" s="27"/>
      <c r="I892" s="62">
        <f>TRUNC(E892*F892,2)</f>
        <v>0.34</v>
      </c>
    </row>
    <row r="893" spans="1:9" s="83" customFormat="1" ht="14.25">
      <c r="A893" s="35"/>
      <c r="B893" s="85" t="s">
        <v>79</v>
      </c>
      <c r="C893" s="44" t="s">
        <v>295</v>
      </c>
      <c r="D893" s="108" t="s">
        <v>136</v>
      </c>
      <c r="E893" s="27">
        <v>0.04</v>
      </c>
      <c r="F893" s="27">
        <v>14.51</v>
      </c>
      <c r="G893" s="27"/>
      <c r="H893" s="27"/>
      <c r="I893" s="62">
        <f>TRUNC(E893*F893,2)</f>
        <v>0.58</v>
      </c>
    </row>
    <row r="894" spans="1:9" s="83" customFormat="1" ht="28.5">
      <c r="A894" s="35"/>
      <c r="B894" s="85" t="s">
        <v>78</v>
      </c>
      <c r="C894" s="44" t="s">
        <v>368</v>
      </c>
      <c r="D894" s="108" t="s">
        <v>148</v>
      </c>
      <c r="E894" s="27">
        <v>0.012</v>
      </c>
      <c r="F894" s="27">
        <v>341.42</v>
      </c>
      <c r="G894" s="27"/>
      <c r="H894" s="27"/>
      <c r="I894" s="62">
        <f>TRUNC(E894*F894,2)</f>
        <v>4.09</v>
      </c>
    </row>
    <row r="895" spans="1:9" s="83" customFormat="1" ht="28.5">
      <c r="A895" s="35"/>
      <c r="B895" s="85" t="s">
        <v>386</v>
      </c>
      <c r="C895" s="44" t="s">
        <v>387</v>
      </c>
      <c r="D895" s="108" t="s">
        <v>45</v>
      </c>
      <c r="E895" s="27">
        <v>0.18025</v>
      </c>
      <c r="F895" s="27">
        <v>13.08</v>
      </c>
      <c r="G895" s="27"/>
      <c r="H895" s="27"/>
      <c r="I895" s="62">
        <f>TRUNC(E895*F895,2)</f>
        <v>2.35</v>
      </c>
    </row>
    <row r="896" spans="1:9" s="83" customFormat="1" ht="14.25">
      <c r="A896" s="35"/>
      <c r="B896" s="85" t="s">
        <v>472</v>
      </c>
      <c r="C896" s="44" t="s">
        <v>473</v>
      </c>
      <c r="D896" s="108" t="s">
        <v>45</v>
      </c>
      <c r="E896" s="27">
        <v>0.3605</v>
      </c>
      <c r="F896" s="27">
        <f>TRUNC(17.3,2)</f>
        <v>17.3</v>
      </c>
      <c r="G896" s="27"/>
      <c r="H896" s="27"/>
      <c r="I896" s="62">
        <f>TRUNC(E896*F896,2)</f>
        <v>6.23</v>
      </c>
    </row>
    <row r="897" spans="1:9" s="83" customFormat="1" ht="14.25">
      <c r="A897" s="35"/>
      <c r="B897" s="85"/>
      <c r="C897" s="44"/>
      <c r="D897" s="108"/>
      <c r="E897" s="27" t="s">
        <v>150</v>
      </c>
      <c r="F897" s="27"/>
      <c r="G897" s="27"/>
      <c r="H897" s="27"/>
      <c r="I897" s="62">
        <f>TRUNC(SUM(I892:I896),2)</f>
        <v>13.59</v>
      </c>
    </row>
    <row r="898" spans="1:9" s="201" customFormat="1" ht="43.5">
      <c r="A898" s="253" t="s">
        <v>303</v>
      </c>
      <c r="B898" s="254" t="s">
        <v>471</v>
      </c>
      <c r="C898" s="255" t="s">
        <v>499</v>
      </c>
      <c r="D898" s="318" t="s">
        <v>142</v>
      </c>
      <c r="E898" s="258">
        <v>87.57</v>
      </c>
      <c r="F898" s="258">
        <f>TRUNC(I903,2)</f>
        <v>12.2</v>
      </c>
      <c r="G898" s="257">
        <f>TRUNC(F898*1.2882,2)</f>
        <v>15.71</v>
      </c>
      <c r="H898" s="257">
        <f>TRUNC(F898*E898,2)</f>
        <v>1068.35</v>
      </c>
      <c r="I898" s="258">
        <f>TRUNC(E898*G898,2)</f>
        <v>1375.72</v>
      </c>
    </row>
    <row r="899" spans="1:9" s="83" customFormat="1" ht="14.25">
      <c r="A899" s="35"/>
      <c r="B899" s="85" t="s">
        <v>605</v>
      </c>
      <c r="C899" s="44" t="s">
        <v>606</v>
      </c>
      <c r="D899" s="108" t="s">
        <v>539</v>
      </c>
      <c r="E899" s="27">
        <v>0.13</v>
      </c>
      <c r="F899" s="27">
        <v>5.76</v>
      </c>
      <c r="G899" s="27"/>
      <c r="H899" s="27"/>
      <c r="I899" s="62">
        <f>TRUNC(E899*F899,2)</f>
        <v>0.74</v>
      </c>
    </row>
    <row r="900" spans="1:9" s="83" customFormat="1" ht="14.25">
      <c r="A900" s="35"/>
      <c r="B900" s="168" t="s">
        <v>607</v>
      </c>
      <c r="C900" s="44" t="s">
        <v>608</v>
      </c>
      <c r="D900" s="108" t="s">
        <v>214</v>
      </c>
      <c r="E900" s="27">
        <v>0.65</v>
      </c>
      <c r="F900" s="27">
        <v>6.64</v>
      </c>
      <c r="G900" s="27"/>
      <c r="H900" s="27"/>
      <c r="I900" s="62">
        <f>TRUNC(E900*F900,2)</f>
        <v>4.31</v>
      </c>
    </row>
    <row r="901" spans="1:9" s="83" customFormat="1" ht="28.5">
      <c r="A901" s="35"/>
      <c r="B901" s="85" t="s">
        <v>386</v>
      </c>
      <c r="C901" s="44" t="s">
        <v>387</v>
      </c>
      <c r="D901" s="108" t="s">
        <v>45</v>
      </c>
      <c r="E901" s="27">
        <v>0.15</v>
      </c>
      <c r="F901" s="27">
        <v>13.08</v>
      </c>
      <c r="G901" s="27"/>
      <c r="H901" s="27"/>
      <c r="I901" s="62">
        <f>TRUNC(E901*F901,2)</f>
        <v>1.96</v>
      </c>
    </row>
    <row r="902" spans="1:9" s="83" customFormat="1" ht="14.25">
      <c r="A902" s="35"/>
      <c r="B902" s="85" t="s">
        <v>472</v>
      </c>
      <c r="C902" s="44" t="s">
        <v>473</v>
      </c>
      <c r="D902" s="108" t="s">
        <v>45</v>
      </c>
      <c r="E902" s="27">
        <v>0.3</v>
      </c>
      <c r="F902" s="27">
        <f>TRUNC(17.3,2)</f>
        <v>17.3</v>
      </c>
      <c r="G902" s="27"/>
      <c r="H902" s="27"/>
      <c r="I902" s="62">
        <f>TRUNC(E902*F902,2)</f>
        <v>5.19</v>
      </c>
    </row>
    <row r="903" spans="1:9" s="83" customFormat="1" ht="14.25">
      <c r="A903" s="35"/>
      <c r="B903" s="85"/>
      <c r="C903" s="44"/>
      <c r="D903" s="108"/>
      <c r="E903" s="27" t="s">
        <v>150</v>
      </c>
      <c r="F903" s="27"/>
      <c r="G903" s="27"/>
      <c r="H903" s="27"/>
      <c r="I903" s="62">
        <f>TRUNC(SUM(I899:I902),2)</f>
        <v>12.2</v>
      </c>
    </row>
    <row r="904" spans="1:9" s="201" customFormat="1" ht="42.75">
      <c r="A904" s="253" t="s">
        <v>500</v>
      </c>
      <c r="B904" s="254" t="s">
        <v>501</v>
      </c>
      <c r="C904" s="255" t="s">
        <v>502</v>
      </c>
      <c r="D904" s="318" t="s">
        <v>503</v>
      </c>
      <c r="E904" s="258">
        <v>20</v>
      </c>
      <c r="F904" s="258">
        <f>TRUNC(8,2)</f>
        <v>8</v>
      </c>
      <c r="G904" s="257">
        <f>TRUNC(F904*1.2882,2)</f>
        <v>10.3</v>
      </c>
      <c r="H904" s="257">
        <f>TRUNC(F904*E904,2)</f>
        <v>160</v>
      </c>
      <c r="I904" s="258">
        <f>TRUNC(E904*G904,2)</f>
        <v>206</v>
      </c>
    </row>
    <row r="905" spans="1:9" s="83" customFormat="1" ht="28.5">
      <c r="A905" s="35"/>
      <c r="B905" s="169" t="s">
        <v>504</v>
      </c>
      <c r="C905" s="44" t="s">
        <v>609</v>
      </c>
      <c r="D905" s="108" t="s">
        <v>505</v>
      </c>
      <c r="E905" s="27">
        <v>20</v>
      </c>
      <c r="F905" s="27">
        <v>0.4</v>
      </c>
      <c r="G905" s="27">
        <f>TRUNC(E905*F905,2)</f>
        <v>8</v>
      </c>
      <c r="H905" s="27"/>
      <c r="I905" s="62"/>
    </row>
    <row r="906" spans="1:9" s="83" customFormat="1" ht="14.25">
      <c r="A906" s="35"/>
      <c r="B906" s="169"/>
      <c r="C906" s="44"/>
      <c r="D906" s="108"/>
      <c r="E906" s="27" t="s">
        <v>150</v>
      </c>
      <c r="F906" s="27"/>
      <c r="G906" s="27">
        <f>TRUNC(SUM(G905:G905),2)</f>
        <v>8</v>
      </c>
      <c r="H906" s="27"/>
      <c r="I906" s="62"/>
    </row>
    <row r="907" spans="1:12" s="201" customFormat="1" ht="42.75">
      <c r="A907" s="253" t="s">
        <v>506</v>
      </c>
      <c r="B907" s="254" t="s">
        <v>507</v>
      </c>
      <c r="C907" s="255" t="s">
        <v>508</v>
      </c>
      <c r="D907" s="318" t="s">
        <v>509</v>
      </c>
      <c r="E907" s="258">
        <v>500</v>
      </c>
      <c r="F907" s="258">
        <f>TRUNC(0.118656109,2)</f>
        <v>0.11</v>
      </c>
      <c r="G907" s="257">
        <f>TRUNC(F907*1.2882,2)</f>
        <v>0.14</v>
      </c>
      <c r="H907" s="257">
        <f>TRUNC(F907*E907,2)</f>
        <v>55</v>
      </c>
      <c r="I907" s="258">
        <f>TRUNC(E907*G907,2)</f>
        <v>70</v>
      </c>
      <c r="L907" s="201">
        <f>9.45*6</f>
        <v>56.699999999999996</v>
      </c>
    </row>
    <row r="908" spans="1:9" s="83" customFormat="1" ht="14.25">
      <c r="A908" s="35"/>
      <c r="B908" s="169" t="s">
        <v>510</v>
      </c>
      <c r="C908" s="44" t="s">
        <v>511</v>
      </c>
      <c r="D908" s="108" t="s">
        <v>45</v>
      </c>
      <c r="E908" s="27">
        <v>0.00121</v>
      </c>
      <c r="F908" s="27">
        <v>97.0783</v>
      </c>
      <c r="G908" s="27">
        <f>TRUNC(E908*F908,2)</f>
        <v>0.11</v>
      </c>
      <c r="H908" s="27"/>
      <c r="I908" s="62"/>
    </row>
    <row r="909" spans="1:9" s="83" customFormat="1" ht="14.25">
      <c r="A909" s="35"/>
      <c r="B909" s="169"/>
      <c r="C909" s="44"/>
      <c r="D909" s="108"/>
      <c r="E909" s="27" t="s">
        <v>150</v>
      </c>
      <c r="F909" s="27"/>
      <c r="G909" s="27">
        <f>TRUNC(SUM(G908:G908),2)</f>
        <v>0.11</v>
      </c>
      <c r="H909" s="27"/>
      <c r="I909" s="62"/>
    </row>
    <row r="910" spans="1:9" s="201" customFormat="1" ht="42.75">
      <c r="A910" s="253" t="s">
        <v>523</v>
      </c>
      <c r="B910" s="254" t="s">
        <v>512</v>
      </c>
      <c r="C910" s="255" t="s">
        <v>513</v>
      </c>
      <c r="D910" s="318" t="s">
        <v>142</v>
      </c>
      <c r="E910" s="258">
        <v>50</v>
      </c>
      <c r="F910" s="258">
        <f>G913</f>
        <v>0.63</v>
      </c>
      <c r="G910" s="257">
        <f>TRUNC(F910*1.2882,2)</f>
        <v>0.81</v>
      </c>
      <c r="H910" s="257">
        <f>TRUNC(F910*E910,2)</f>
        <v>31.5</v>
      </c>
      <c r="I910" s="258">
        <f>TRUNC(E910*G910,2)</f>
        <v>40.5</v>
      </c>
    </row>
    <row r="911" spans="1:9" s="83" customFormat="1" ht="28.5">
      <c r="A911" s="35"/>
      <c r="B911" s="44" t="s">
        <v>386</v>
      </c>
      <c r="C911" s="44" t="s">
        <v>387</v>
      </c>
      <c r="D911" s="108" t="s">
        <v>45</v>
      </c>
      <c r="E911" s="27">
        <v>0.013389999999999999</v>
      </c>
      <c r="F911" s="27">
        <v>13.08</v>
      </c>
      <c r="G911" s="27">
        <f>TRUNC(E911*F911,2)</f>
        <v>0.17</v>
      </c>
      <c r="H911" s="27"/>
      <c r="I911" s="62"/>
    </row>
    <row r="912" spans="1:9" s="83" customFormat="1" ht="14.25">
      <c r="A912" s="35"/>
      <c r="B912" s="44" t="s">
        <v>514</v>
      </c>
      <c r="C912" s="44" t="s">
        <v>515</v>
      </c>
      <c r="D912" s="108" t="s">
        <v>45</v>
      </c>
      <c r="E912" s="27">
        <v>0.013</v>
      </c>
      <c r="F912" s="27">
        <v>35.4662</v>
      </c>
      <c r="G912" s="27">
        <f>TRUNC(E912*F912,2)</f>
        <v>0.46</v>
      </c>
      <c r="H912" s="27"/>
      <c r="I912" s="62"/>
    </row>
    <row r="913" spans="1:9" s="83" customFormat="1" ht="14.25">
      <c r="A913" s="35"/>
      <c r="B913" s="44"/>
      <c r="C913" s="44"/>
      <c r="D913" s="108"/>
      <c r="E913" s="27" t="s">
        <v>150</v>
      </c>
      <c r="F913" s="27"/>
      <c r="G913" s="27">
        <f>TRUNC(SUM(G911:G912),2)</f>
        <v>0.63</v>
      </c>
      <c r="H913" s="27"/>
      <c r="I913" s="62"/>
    </row>
    <row r="914" spans="1:9" s="201" customFormat="1" ht="42.75">
      <c r="A914" s="253" t="s">
        <v>524</v>
      </c>
      <c r="B914" s="254" t="s">
        <v>516</v>
      </c>
      <c r="C914" s="255" t="s">
        <v>517</v>
      </c>
      <c r="D914" s="318" t="s">
        <v>142</v>
      </c>
      <c r="E914" s="258">
        <v>50</v>
      </c>
      <c r="F914" s="258">
        <f>G916</f>
        <v>5.38</v>
      </c>
      <c r="G914" s="257">
        <f>TRUNC(F914*1.2882,2)</f>
        <v>6.93</v>
      </c>
      <c r="H914" s="257">
        <f>TRUNC(F914*E914,2)</f>
        <v>269</v>
      </c>
      <c r="I914" s="258">
        <f>TRUNC(E914*G914,2)</f>
        <v>346.5</v>
      </c>
    </row>
    <row r="915" spans="1:9" s="83" customFormat="1" ht="28.5">
      <c r="A915" s="35"/>
      <c r="B915" s="44" t="s">
        <v>386</v>
      </c>
      <c r="C915" s="44" t="s">
        <v>387</v>
      </c>
      <c r="D915" s="108" t="s">
        <v>45</v>
      </c>
      <c r="E915" s="27">
        <v>0.41200000000000003</v>
      </c>
      <c r="F915" s="27">
        <v>13.08</v>
      </c>
      <c r="G915" s="27">
        <f>TRUNC(E915*F915,2)</f>
        <v>5.38</v>
      </c>
      <c r="H915" s="27"/>
      <c r="I915" s="62"/>
    </row>
    <row r="916" spans="1:9" s="83" customFormat="1" ht="14.25">
      <c r="A916" s="35"/>
      <c r="B916" s="44"/>
      <c r="C916" s="44"/>
      <c r="D916" s="108"/>
      <c r="E916" s="27" t="s">
        <v>150</v>
      </c>
      <c r="F916" s="27"/>
      <c r="G916" s="27">
        <f>TRUNC(SUM(G915:G915),2)</f>
        <v>5.38</v>
      </c>
      <c r="H916" s="27"/>
      <c r="I916" s="62"/>
    </row>
    <row r="917" spans="1:9" s="201" customFormat="1" ht="42.75">
      <c r="A917" s="253" t="s">
        <v>525</v>
      </c>
      <c r="B917" s="254" t="s">
        <v>518</v>
      </c>
      <c r="C917" s="255" t="s">
        <v>519</v>
      </c>
      <c r="D917" s="318" t="s">
        <v>142</v>
      </c>
      <c r="E917" s="258">
        <v>18</v>
      </c>
      <c r="F917" s="258">
        <f>G919</f>
        <v>2.99</v>
      </c>
      <c r="G917" s="257">
        <f>TRUNC(F917*1.2882,2)</f>
        <v>3.85</v>
      </c>
      <c r="H917" s="257">
        <f>TRUNC(F917*E917,2)</f>
        <v>53.82</v>
      </c>
      <c r="I917" s="258">
        <f>TRUNC(E917*G917,2)</f>
        <v>69.3</v>
      </c>
    </row>
    <row r="918" spans="1:9" s="83" customFormat="1" ht="14.25">
      <c r="A918" s="35"/>
      <c r="B918" s="44" t="s">
        <v>520</v>
      </c>
      <c r="C918" s="44" t="s">
        <v>610</v>
      </c>
      <c r="D918" s="108" t="s">
        <v>141</v>
      </c>
      <c r="E918" s="27">
        <v>0.05</v>
      </c>
      <c r="F918" s="27">
        <v>59.966</v>
      </c>
      <c r="G918" s="27">
        <f>TRUNC(E918*F918,2)</f>
        <v>2.99</v>
      </c>
      <c r="H918" s="27"/>
      <c r="I918" s="62"/>
    </row>
    <row r="919" spans="1:9" s="83" customFormat="1" ht="14.25">
      <c r="A919" s="35"/>
      <c r="B919" s="44"/>
      <c r="C919" s="44"/>
      <c r="D919" s="108"/>
      <c r="E919" s="27" t="s">
        <v>150</v>
      </c>
      <c r="F919" s="27"/>
      <c r="G919" s="27">
        <f>TRUNC(SUM(G918:G918),2)</f>
        <v>2.99</v>
      </c>
      <c r="H919" s="27"/>
      <c r="I919" s="62"/>
    </row>
    <row r="920" spans="1:9" s="201" customFormat="1" ht="28.5">
      <c r="A920" s="253" t="s">
        <v>526</v>
      </c>
      <c r="B920" s="254" t="s">
        <v>521</v>
      </c>
      <c r="C920" s="255" t="s">
        <v>522</v>
      </c>
      <c r="D920" s="318" t="s">
        <v>142</v>
      </c>
      <c r="E920" s="258">
        <v>18</v>
      </c>
      <c r="F920" s="258">
        <f>G922</f>
        <v>0.44</v>
      </c>
      <c r="G920" s="257">
        <f>TRUNC(F920*1.2882,2)</f>
        <v>0.56</v>
      </c>
      <c r="H920" s="257">
        <f>TRUNC(F920*E920,2)</f>
        <v>7.92</v>
      </c>
      <c r="I920" s="258">
        <f>TRUNC(E920*G920,2)</f>
        <v>10.08</v>
      </c>
    </row>
    <row r="921" spans="1:9" s="83" customFormat="1" ht="28.5">
      <c r="A921" s="35"/>
      <c r="B921" s="44" t="s">
        <v>386</v>
      </c>
      <c r="C921" s="44" t="s">
        <v>387</v>
      </c>
      <c r="D921" s="108" t="s">
        <v>45</v>
      </c>
      <c r="E921" s="27">
        <v>0.03399</v>
      </c>
      <c r="F921" s="27">
        <v>13.08</v>
      </c>
      <c r="G921" s="27">
        <f>TRUNC(E921*F921,2)</f>
        <v>0.44</v>
      </c>
      <c r="H921" s="27"/>
      <c r="I921" s="62"/>
    </row>
    <row r="922" spans="1:9" s="83" customFormat="1" ht="14.25">
      <c r="A922" s="35"/>
      <c r="B922" s="44"/>
      <c r="C922" s="44"/>
      <c r="D922" s="108"/>
      <c r="E922" s="27" t="s">
        <v>150</v>
      </c>
      <c r="F922" s="27"/>
      <c r="G922" s="27">
        <f>TRUNC(SUM(G921:G921),2)</f>
        <v>0.44</v>
      </c>
      <c r="H922" s="27"/>
      <c r="I922" s="62"/>
    </row>
    <row r="923" spans="1:9" s="22" customFormat="1" ht="15">
      <c r="A923" s="86" t="s">
        <v>491</v>
      </c>
      <c r="B923" s="82"/>
      <c r="C923" s="46" t="s">
        <v>133</v>
      </c>
      <c r="D923" s="112"/>
      <c r="E923" s="47"/>
      <c r="F923" s="48"/>
      <c r="G923" s="48"/>
      <c r="H923" s="49">
        <f>H847+H854+H869+H876+H891+H898+H904+H907+H910+H914+H917+H920</f>
        <v>33292.17</v>
      </c>
      <c r="I923" s="49">
        <f>I847+I854+I869+I876+I891+I898+I904+I907+I910+I914+I917+I920</f>
        <v>42877.76</v>
      </c>
    </row>
    <row r="924" spans="1:9" ht="15">
      <c r="A924" s="50" t="s">
        <v>50</v>
      </c>
      <c r="B924" s="93"/>
      <c r="C924" s="63" t="s">
        <v>796</v>
      </c>
      <c r="D924" s="113"/>
      <c r="E924" s="63"/>
      <c r="F924" s="63"/>
      <c r="G924" s="63"/>
      <c r="H924" s="63"/>
      <c r="I924" s="58"/>
    </row>
    <row r="925" spans="1:9" s="188" customFormat="1" ht="57">
      <c r="A925" s="253" t="s">
        <v>984</v>
      </c>
      <c r="B925" s="320" t="s">
        <v>480</v>
      </c>
      <c r="C925" s="321" t="s">
        <v>576</v>
      </c>
      <c r="D925" s="253" t="s">
        <v>142</v>
      </c>
      <c r="E925" s="309">
        <f>E932</f>
        <v>170.38</v>
      </c>
      <c r="F925" s="258">
        <f>TRUNC(26.637425,2)</f>
        <v>26.63</v>
      </c>
      <c r="G925" s="257">
        <f>TRUNC(F925*1.2882,2)</f>
        <v>34.3</v>
      </c>
      <c r="H925" s="257">
        <f>TRUNC(F925*E925,2)</f>
        <v>4537.21</v>
      </c>
      <c r="I925" s="258">
        <f>TRUNC(E925*G925,2)</f>
        <v>5844.03</v>
      </c>
    </row>
    <row r="926" spans="1:9" s="83" customFormat="1" ht="14.25">
      <c r="A926" s="35"/>
      <c r="B926" s="87" t="s">
        <v>195</v>
      </c>
      <c r="C926" s="69" t="s">
        <v>575</v>
      </c>
      <c r="D926" s="35" t="s">
        <v>141</v>
      </c>
      <c r="E926" s="62">
        <v>0.175</v>
      </c>
      <c r="F926" s="27">
        <f>TRUNC(12,2)</f>
        <v>12</v>
      </c>
      <c r="G926" s="26">
        <f>TRUNC(E926*F926,2)</f>
        <v>2.1</v>
      </c>
      <c r="H926" s="26"/>
      <c r="I926" s="27"/>
    </row>
    <row r="927" spans="1:9" s="83" customFormat="1" ht="14.25">
      <c r="A927" s="35"/>
      <c r="B927" s="87" t="s">
        <v>194</v>
      </c>
      <c r="C927" s="69" t="s">
        <v>577</v>
      </c>
      <c r="D927" s="35" t="s">
        <v>141</v>
      </c>
      <c r="E927" s="62">
        <v>0.75</v>
      </c>
      <c r="F927" s="27">
        <f>TRUNC(21.983,2)</f>
        <v>21.98</v>
      </c>
      <c r="G927" s="26">
        <f>TRUNC(E927*F927,2)</f>
        <v>16.48</v>
      </c>
      <c r="H927" s="26"/>
      <c r="I927" s="27"/>
    </row>
    <row r="928" spans="1:9" s="83" customFormat="1" ht="28.5">
      <c r="A928" s="35"/>
      <c r="B928" s="87" t="s">
        <v>144</v>
      </c>
      <c r="C928" s="69" t="s">
        <v>215</v>
      </c>
      <c r="D928" s="35" t="s">
        <v>214</v>
      </c>
      <c r="E928" s="62">
        <v>0.004</v>
      </c>
      <c r="F928" s="27">
        <f>TRUNC(8.55,2)</f>
        <v>8.55</v>
      </c>
      <c r="G928" s="26">
        <f>TRUNC(E928*F928,2)</f>
        <v>0.03</v>
      </c>
      <c r="H928" s="26"/>
      <c r="I928" s="27"/>
    </row>
    <row r="929" spans="1:9" s="83" customFormat="1" ht="28.5">
      <c r="A929" s="35"/>
      <c r="B929" s="87" t="s">
        <v>386</v>
      </c>
      <c r="C929" s="69" t="s">
        <v>387</v>
      </c>
      <c r="D929" s="35" t="s">
        <v>45</v>
      </c>
      <c r="E929" s="62">
        <v>0.2575</v>
      </c>
      <c r="F929" s="27">
        <f>TRUNC(13.08,2)</f>
        <v>13.08</v>
      </c>
      <c r="G929" s="26">
        <f>TRUNC(E929*F929,2)</f>
        <v>3.36</v>
      </c>
      <c r="H929" s="26"/>
      <c r="I929" s="27"/>
    </row>
    <row r="930" spans="1:9" s="83" customFormat="1" ht="28.5">
      <c r="A930" s="35"/>
      <c r="B930" s="87" t="s">
        <v>426</v>
      </c>
      <c r="C930" s="69" t="s">
        <v>427</v>
      </c>
      <c r="D930" s="35" t="s">
        <v>45</v>
      </c>
      <c r="E930" s="62">
        <v>0.2575</v>
      </c>
      <c r="F930" s="27">
        <f>TRUNC(18.05,2)</f>
        <v>18.05</v>
      </c>
      <c r="G930" s="26">
        <f>TRUNC(E930*F930,2)</f>
        <v>4.64</v>
      </c>
      <c r="H930" s="26"/>
      <c r="I930" s="27"/>
    </row>
    <row r="931" spans="1:9" s="83" customFormat="1" ht="14.25">
      <c r="A931" s="35"/>
      <c r="B931" s="87"/>
      <c r="C931" s="69"/>
      <c r="D931" s="35"/>
      <c r="E931" s="62" t="s">
        <v>150</v>
      </c>
      <c r="F931" s="27"/>
      <c r="G931" s="26">
        <f>TRUNC(SUM(G926:G930),2)</f>
        <v>26.61</v>
      </c>
      <c r="H931" s="26"/>
      <c r="I931" s="27"/>
    </row>
    <row r="932" spans="1:9" s="188" customFormat="1" ht="57">
      <c r="A932" s="253" t="s">
        <v>985</v>
      </c>
      <c r="B932" s="320" t="s">
        <v>481</v>
      </c>
      <c r="C932" s="321" t="s">
        <v>370</v>
      </c>
      <c r="D932" s="253" t="s">
        <v>142</v>
      </c>
      <c r="E932" s="309">
        <v>170.38</v>
      </c>
      <c r="F932" s="258">
        <f>TRUNC(45.63492,2)</f>
        <v>45.63</v>
      </c>
      <c r="G932" s="257">
        <f>TRUNC(F932*1.2882,2)</f>
        <v>58.78</v>
      </c>
      <c r="H932" s="257">
        <f>TRUNC(F932*E932,2)</f>
        <v>7774.43</v>
      </c>
      <c r="I932" s="258">
        <f>TRUNC(E932*G932,2)</f>
        <v>10014.93</v>
      </c>
    </row>
    <row r="933" spans="1:9" s="83" customFormat="1" ht="28.5">
      <c r="A933" s="35"/>
      <c r="B933" s="87" t="s">
        <v>316</v>
      </c>
      <c r="C933" s="69" t="s">
        <v>315</v>
      </c>
      <c r="D933" s="35" t="s">
        <v>148</v>
      </c>
      <c r="E933" s="62">
        <v>0.44</v>
      </c>
      <c r="F933" s="27">
        <f>TRUNC(75.39,2)</f>
        <v>75.39</v>
      </c>
      <c r="G933" s="26">
        <f aca="true" t="shared" si="40" ref="G933:G938">TRUNC(E933*F933,2)</f>
        <v>33.17</v>
      </c>
      <c r="H933" s="26"/>
      <c r="I933" s="27"/>
    </row>
    <row r="934" spans="1:9" s="83" customFormat="1" ht="28.5">
      <c r="A934" s="35"/>
      <c r="B934" s="87" t="s">
        <v>314</v>
      </c>
      <c r="C934" s="69" t="s">
        <v>313</v>
      </c>
      <c r="D934" s="35" t="s">
        <v>148</v>
      </c>
      <c r="E934" s="62">
        <v>1.5</v>
      </c>
      <c r="F934" s="27">
        <f>TRUNC(0.27,2)</f>
        <v>0.27</v>
      </c>
      <c r="G934" s="26">
        <f t="shared" si="40"/>
        <v>0.4</v>
      </c>
      <c r="H934" s="26"/>
      <c r="I934" s="27"/>
    </row>
    <row r="935" spans="1:9" s="83" customFormat="1" ht="14.25">
      <c r="A935" s="35"/>
      <c r="B935" s="87" t="s">
        <v>312</v>
      </c>
      <c r="C935" s="69" t="s">
        <v>311</v>
      </c>
      <c r="D935" s="35" t="s">
        <v>214</v>
      </c>
      <c r="E935" s="62">
        <v>0.015</v>
      </c>
      <c r="F935" s="27">
        <f>TRUNC(12.61,2)</f>
        <v>12.61</v>
      </c>
      <c r="G935" s="26">
        <f t="shared" si="40"/>
        <v>0.18</v>
      </c>
      <c r="H935" s="26"/>
      <c r="I935" s="27"/>
    </row>
    <row r="936" spans="1:9" s="83" customFormat="1" ht="14.25">
      <c r="A936" s="35"/>
      <c r="B936" s="87" t="s">
        <v>310</v>
      </c>
      <c r="C936" s="69" t="s">
        <v>309</v>
      </c>
      <c r="D936" s="35" t="s">
        <v>148</v>
      </c>
      <c r="E936" s="62">
        <v>1.5</v>
      </c>
      <c r="F936" s="27">
        <f>TRUNC(1.5,2)</f>
        <v>1.5</v>
      </c>
      <c r="G936" s="26">
        <f t="shared" si="40"/>
        <v>2.25</v>
      </c>
      <c r="H936" s="26"/>
      <c r="I936" s="27"/>
    </row>
    <row r="937" spans="1:9" s="83" customFormat="1" ht="28.5">
      <c r="A937" s="35"/>
      <c r="B937" s="87" t="s">
        <v>386</v>
      </c>
      <c r="C937" s="69" t="s">
        <v>387</v>
      </c>
      <c r="D937" s="35" t="s">
        <v>45</v>
      </c>
      <c r="E937" s="62">
        <v>0.309</v>
      </c>
      <c r="F937" s="27">
        <f>TRUNC(13.08,2)</f>
        <v>13.08</v>
      </c>
      <c r="G937" s="26">
        <f t="shared" si="40"/>
        <v>4.04</v>
      </c>
      <c r="H937" s="26"/>
      <c r="I937" s="27"/>
    </row>
    <row r="938" spans="1:9" s="83" customFormat="1" ht="28.5">
      <c r="A938" s="35"/>
      <c r="B938" s="87" t="s">
        <v>426</v>
      </c>
      <c r="C938" s="69" t="s">
        <v>427</v>
      </c>
      <c r="D938" s="35" t="s">
        <v>45</v>
      </c>
      <c r="E938" s="62">
        <v>0.309</v>
      </c>
      <c r="F938" s="27">
        <f>TRUNC(18.05,2)</f>
        <v>18.05</v>
      </c>
      <c r="G938" s="26">
        <f t="shared" si="40"/>
        <v>5.57</v>
      </c>
      <c r="H938" s="26"/>
      <c r="I938" s="27"/>
    </row>
    <row r="939" spans="1:9" s="83" customFormat="1" ht="14.25">
      <c r="A939" s="35"/>
      <c r="B939" s="87"/>
      <c r="C939" s="69"/>
      <c r="D939" s="35"/>
      <c r="E939" s="62" t="s">
        <v>150</v>
      </c>
      <c r="F939" s="27"/>
      <c r="G939" s="26">
        <f>TRUNC(SUM(G933:G938),2)</f>
        <v>45.61</v>
      </c>
      <c r="H939" s="26"/>
      <c r="I939" s="27"/>
    </row>
    <row r="940" spans="1:9" s="83" customFormat="1" ht="14.25">
      <c r="A940" s="35"/>
      <c r="B940" s="87"/>
      <c r="C940" s="69"/>
      <c r="D940" s="35"/>
      <c r="E940" s="62"/>
      <c r="F940" s="27"/>
      <c r="G940" s="26"/>
      <c r="H940" s="26"/>
      <c r="I940" s="27"/>
    </row>
    <row r="941" spans="1:9" s="188" customFormat="1" ht="57">
      <c r="A941" s="253" t="s">
        <v>986</v>
      </c>
      <c r="B941" s="320" t="s">
        <v>482</v>
      </c>
      <c r="C941" s="321" t="s">
        <v>371</v>
      </c>
      <c r="D941" s="253" t="s">
        <v>141</v>
      </c>
      <c r="E941" s="309">
        <v>11</v>
      </c>
      <c r="F941" s="258">
        <f>TRUNC(I948,2)</f>
        <v>39.25</v>
      </c>
      <c r="G941" s="257">
        <f>TRUNC(F941*1.2882,2)</f>
        <v>50.56</v>
      </c>
      <c r="H941" s="257">
        <f>TRUNC(F941*E941,2)</f>
        <v>431.75</v>
      </c>
      <c r="I941" s="258">
        <f>TRUNC(E941*G941,2)</f>
        <v>556.16</v>
      </c>
    </row>
    <row r="942" spans="1:9" s="83" customFormat="1" ht="28.5">
      <c r="A942" s="35"/>
      <c r="B942" s="87" t="s">
        <v>318</v>
      </c>
      <c r="C942" s="69" t="s">
        <v>317</v>
      </c>
      <c r="D942" s="35" t="s">
        <v>148</v>
      </c>
      <c r="E942" s="62">
        <v>1</v>
      </c>
      <c r="F942" s="27">
        <f>TRUNC(28.04,2)</f>
        <v>28.04</v>
      </c>
      <c r="G942" s="27"/>
      <c r="H942" s="27"/>
      <c r="I942" s="62">
        <f aca="true" t="shared" si="41" ref="I942:I947">TRUNC(E942*F942,2)</f>
        <v>28.04</v>
      </c>
    </row>
    <row r="943" spans="1:9" s="83" customFormat="1" ht="28.5">
      <c r="A943" s="35"/>
      <c r="B943" s="87" t="s">
        <v>314</v>
      </c>
      <c r="C943" s="69" t="s">
        <v>313</v>
      </c>
      <c r="D943" s="35" t="s">
        <v>148</v>
      </c>
      <c r="E943" s="62">
        <v>1.5</v>
      </c>
      <c r="F943" s="27">
        <f>TRUNC(0.25,2)</f>
        <v>0.25</v>
      </c>
      <c r="G943" s="27"/>
      <c r="H943" s="27"/>
      <c r="I943" s="62">
        <f t="shared" si="41"/>
        <v>0.37</v>
      </c>
    </row>
    <row r="944" spans="1:9" s="83" customFormat="1" ht="14.25">
      <c r="A944" s="35"/>
      <c r="B944" s="87" t="s">
        <v>312</v>
      </c>
      <c r="C944" s="69" t="s">
        <v>311</v>
      </c>
      <c r="D944" s="35" t="s">
        <v>214</v>
      </c>
      <c r="E944" s="62">
        <v>0.11</v>
      </c>
      <c r="F944" s="27">
        <f>TRUNC(11.38,2)</f>
        <v>11.38</v>
      </c>
      <c r="G944" s="27"/>
      <c r="H944" s="27"/>
      <c r="I944" s="62">
        <f t="shared" si="41"/>
        <v>1.25</v>
      </c>
    </row>
    <row r="945" spans="1:9" s="83" customFormat="1" ht="14.25">
      <c r="A945" s="35"/>
      <c r="B945" s="87" t="s">
        <v>310</v>
      </c>
      <c r="C945" s="69" t="s">
        <v>309</v>
      </c>
      <c r="D945" s="35" t="s">
        <v>148</v>
      </c>
      <c r="E945" s="62">
        <v>2.3</v>
      </c>
      <c r="F945" s="27">
        <f>TRUNC(1.5,2)</f>
        <v>1.5</v>
      </c>
      <c r="G945" s="27"/>
      <c r="H945" s="27"/>
      <c r="I945" s="62">
        <f t="shared" si="41"/>
        <v>3.45</v>
      </c>
    </row>
    <row r="946" spans="1:9" s="83" customFormat="1" ht="28.5">
      <c r="A946" s="35"/>
      <c r="B946" s="87" t="s">
        <v>386</v>
      </c>
      <c r="C946" s="69" t="s">
        <v>387</v>
      </c>
      <c r="D946" s="35" t="s">
        <v>45</v>
      </c>
      <c r="E946" s="62">
        <v>0.20600000000000002</v>
      </c>
      <c r="F946" s="27">
        <f>TRUNC(12.54,2)</f>
        <v>12.54</v>
      </c>
      <c r="G946" s="27"/>
      <c r="H946" s="27"/>
      <c r="I946" s="62">
        <f t="shared" si="41"/>
        <v>2.58</v>
      </c>
    </row>
    <row r="947" spans="1:9" s="83" customFormat="1" ht="28.5">
      <c r="A947" s="35"/>
      <c r="B947" s="87" t="s">
        <v>426</v>
      </c>
      <c r="C947" s="69" t="s">
        <v>427</v>
      </c>
      <c r="D947" s="35" t="s">
        <v>45</v>
      </c>
      <c r="E947" s="62">
        <v>0.20600000000000002</v>
      </c>
      <c r="F947" s="27">
        <f>TRUNC(17.3,2)</f>
        <v>17.3</v>
      </c>
      <c r="G947" s="27"/>
      <c r="H947" s="27"/>
      <c r="I947" s="62">
        <f t="shared" si="41"/>
        <v>3.56</v>
      </c>
    </row>
    <row r="948" spans="1:9" s="83" customFormat="1" ht="14.25">
      <c r="A948" s="35"/>
      <c r="B948" s="87"/>
      <c r="C948" s="69"/>
      <c r="D948" s="35"/>
      <c r="E948" s="62" t="s">
        <v>150</v>
      </c>
      <c r="F948" s="27"/>
      <c r="G948" s="27"/>
      <c r="H948" s="27"/>
      <c r="I948" s="62">
        <f>TRUNC(SUM(I942:I947),2)</f>
        <v>39.25</v>
      </c>
    </row>
    <row r="949" spans="1:9" s="188" customFormat="1" ht="71.25">
      <c r="A949" s="253" t="s">
        <v>987</v>
      </c>
      <c r="B949" s="320" t="s">
        <v>797</v>
      </c>
      <c r="C949" s="321" t="s">
        <v>798</v>
      </c>
      <c r="D949" s="253" t="s">
        <v>142</v>
      </c>
      <c r="E949" s="309">
        <v>170.38</v>
      </c>
      <c r="F949" s="258">
        <f>TRUNC(F950,2)</f>
        <v>83.41</v>
      </c>
      <c r="G949" s="257">
        <f>TRUNC(F949*1.2882,2)</f>
        <v>107.44</v>
      </c>
      <c r="H949" s="257">
        <f>TRUNC(F949*E949,2)</f>
        <v>14211.39</v>
      </c>
      <c r="I949" s="258">
        <f>TRUNC(E949*G949,2)</f>
        <v>18305.62</v>
      </c>
    </row>
    <row r="950" spans="1:9" s="83" customFormat="1" ht="71.25">
      <c r="A950" s="35"/>
      <c r="B950" s="87" t="s">
        <v>797</v>
      </c>
      <c r="C950" s="69" t="s">
        <v>798</v>
      </c>
      <c r="D950" s="35" t="s">
        <v>142</v>
      </c>
      <c r="E950" s="62">
        <v>1</v>
      </c>
      <c r="F950" s="27">
        <f>TRUNC(83.41668,2)</f>
        <v>83.41</v>
      </c>
      <c r="G950" s="27">
        <f aca="true" t="shared" si="42" ref="G950:G955">TRUNC(E950*F950,2)</f>
        <v>83.41</v>
      </c>
      <c r="H950" s="27"/>
      <c r="I950" s="62"/>
    </row>
    <row r="951" spans="1:9" s="83" customFormat="1" ht="14.25">
      <c r="A951" s="35"/>
      <c r="B951" s="87" t="s">
        <v>799</v>
      </c>
      <c r="C951" s="69" t="s">
        <v>800</v>
      </c>
      <c r="D951" s="35" t="s">
        <v>214</v>
      </c>
      <c r="E951" s="62">
        <v>2</v>
      </c>
      <c r="F951" s="27">
        <f>TRUNC(2.86,2)</f>
        <v>2.86</v>
      </c>
      <c r="G951" s="27">
        <f t="shared" si="42"/>
        <v>5.72</v>
      </c>
      <c r="H951" s="27"/>
      <c r="I951" s="62"/>
    </row>
    <row r="952" spans="1:9" s="83" customFormat="1" ht="14.25">
      <c r="A952" s="35"/>
      <c r="B952" s="87" t="s">
        <v>801</v>
      </c>
      <c r="C952" s="69" t="s">
        <v>802</v>
      </c>
      <c r="D952" s="35" t="s">
        <v>539</v>
      </c>
      <c r="E952" s="62">
        <v>2</v>
      </c>
      <c r="F952" s="27">
        <f>TRUNC(18.18,2)</f>
        <v>18.18</v>
      </c>
      <c r="G952" s="27">
        <f t="shared" si="42"/>
        <v>36.36</v>
      </c>
      <c r="H952" s="27"/>
      <c r="I952" s="62"/>
    </row>
    <row r="953" spans="1:9" s="83" customFormat="1" ht="14.25">
      <c r="A953" s="35"/>
      <c r="B953" s="87" t="s">
        <v>803</v>
      </c>
      <c r="C953" s="69" t="s">
        <v>804</v>
      </c>
      <c r="D953" s="35" t="s">
        <v>142</v>
      </c>
      <c r="E953" s="62">
        <v>1.1</v>
      </c>
      <c r="F953" s="27">
        <f>TRUNC(2.6,2)</f>
        <v>2.6</v>
      </c>
      <c r="G953" s="27">
        <f t="shared" si="42"/>
        <v>2.86</v>
      </c>
      <c r="H953" s="27"/>
      <c r="I953" s="62"/>
    </row>
    <row r="954" spans="1:9" s="83" customFormat="1" ht="28.5">
      <c r="A954" s="35"/>
      <c r="B954" s="87" t="s">
        <v>386</v>
      </c>
      <c r="C954" s="69" t="s">
        <v>387</v>
      </c>
      <c r="D954" s="35" t="s">
        <v>45</v>
      </c>
      <c r="E954" s="62">
        <v>1.236</v>
      </c>
      <c r="F954" s="27">
        <f>TRUNC(13.08,2)</f>
        <v>13.08</v>
      </c>
      <c r="G954" s="27">
        <f t="shared" si="42"/>
        <v>16.16</v>
      </c>
      <c r="H954" s="27"/>
      <c r="I954" s="62"/>
    </row>
    <row r="955" spans="1:9" s="83" customFormat="1" ht="14.25">
      <c r="A955" s="35"/>
      <c r="B955" s="87" t="s">
        <v>805</v>
      </c>
      <c r="C955" s="69" t="s">
        <v>806</v>
      </c>
      <c r="D955" s="35" t="s">
        <v>45</v>
      </c>
      <c r="E955" s="62">
        <v>1.236</v>
      </c>
      <c r="F955" s="27">
        <f>TRUNC(18.05,2)</f>
        <v>18.05</v>
      </c>
      <c r="G955" s="27">
        <f t="shared" si="42"/>
        <v>22.3</v>
      </c>
      <c r="H955" s="27"/>
      <c r="I955" s="62"/>
    </row>
    <row r="956" spans="1:9" s="83" customFormat="1" ht="14.25">
      <c r="A956" s="35"/>
      <c r="B956" s="87"/>
      <c r="C956" s="69"/>
      <c r="D956" s="35"/>
      <c r="E956" s="62" t="s">
        <v>150</v>
      </c>
      <c r="F956" s="27"/>
      <c r="G956" s="27">
        <f>TRUNC(SUM(G951:G955),2)</f>
        <v>83.4</v>
      </c>
      <c r="H956" s="27"/>
      <c r="I956" s="62"/>
    </row>
    <row r="957" spans="1:9" s="22" customFormat="1" ht="15">
      <c r="A957" s="86" t="s">
        <v>491</v>
      </c>
      <c r="B957" s="82"/>
      <c r="C957" s="46" t="s">
        <v>308</v>
      </c>
      <c r="D957" s="112"/>
      <c r="E957" s="47"/>
      <c r="F957" s="48"/>
      <c r="G957" s="48"/>
      <c r="H957" s="49">
        <f>H925+H932+H941+H949</f>
        <v>26954.78</v>
      </c>
      <c r="I957" s="49">
        <f>I925+I932+I941+I949</f>
        <v>34720.74</v>
      </c>
    </row>
    <row r="958" spans="1:9" ht="15">
      <c r="A958" s="50" t="s">
        <v>12</v>
      </c>
      <c r="B958" s="93"/>
      <c r="C958" s="63" t="s">
        <v>46</v>
      </c>
      <c r="D958" s="113"/>
      <c r="E958" s="63"/>
      <c r="F958" s="63"/>
      <c r="G958" s="63"/>
      <c r="H958" s="63"/>
      <c r="I958" s="58"/>
    </row>
    <row r="959" spans="1:9" ht="57">
      <c r="A959" s="253" t="s">
        <v>121</v>
      </c>
      <c r="B959" s="320" t="s">
        <v>483</v>
      </c>
      <c r="C959" s="321" t="s">
        <v>319</v>
      </c>
      <c r="D959" s="253" t="s">
        <v>148</v>
      </c>
      <c r="E959" s="309">
        <v>21</v>
      </c>
      <c r="F959" s="258">
        <f>TRUNC(F960,2)</f>
        <v>238.08</v>
      </c>
      <c r="G959" s="257">
        <f>TRUNC(F959*1.2882,2)</f>
        <v>306.69</v>
      </c>
      <c r="H959" s="257">
        <f>TRUNC(F959*E959,2)</f>
        <v>4999.68</v>
      </c>
      <c r="I959" s="258">
        <f>TRUNC(E959*G959,2)</f>
        <v>6440.49</v>
      </c>
    </row>
    <row r="960" spans="1:9" ht="57">
      <c r="A960" s="35"/>
      <c r="B960" s="87" t="s">
        <v>483</v>
      </c>
      <c r="C960" s="69" t="s">
        <v>384</v>
      </c>
      <c r="D960" s="35" t="s">
        <v>148</v>
      </c>
      <c r="E960" s="62">
        <v>1</v>
      </c>
      <c r="F960" s="27">
        <f>TRUNC(I963,2)</f>
        <v>238.08</v>
      </c>
      <c r="G960" s="27"/>
      <c r="H960" s="27"/>
      <c r="I960" s="70">
        <f>TRUNC(E960*F960,2)</f>
        <v>238.08</v>
      </c>
    </row>
    <row r="961" spans="1:9" ht="28.5">
      <c r="A961" s="35"/>
      <c r="B961" s="87" t="s">
        <v>386</v>
      </c>
      <c r="C961" s="69" t="s">
        <v>387</v>
      </c>
      <c r="D961" s="35" t="s">
        <v>45</v>
      </c>
      <c r="E961" s="62">
        <v>0.618</v>
      </c>
      <c r="F961" s="27">
        <v>13.08</v>
      </c>
      <c r="G961" s="27"/>
      <c r="H961" s="27"/>
      <c r="I961" s="62">
        <f>TRUNC(E961*F961,2)</f>
        <v>8.08</v>
      </c>
    </row>
    <row r="962" spans="1:9" ht="28.5">
      <c r="A962" s="35"/>
      <c r="B962" s="87" t="s">
        <v>321</v>
      </c>
      <c r="C962" s="69" t="s">
        <v>320</v>
      </c>
      <c r="D962" s="35" t="s">
        <v>148</v>
      </c>
      <c r="E962" s="62">
        <v>1</v>
      </c>
      <c r="F962" s="27">
        <v>230</v>
      </c>
      <c r="G962" s="27"/>
      <c r="H962" s="27"/>
      <c r="I962" s="62">
        <f>TRUNC(E962*F962,2)</f>
        <v>230</v>
      </c>
    </row>
    <row r="963" spans="1:9" ht="14.25">
      <c r="A963" s="35"/>
      <c r="B963" s="87"/>
      <c r="C963" s="69"/>
      <c r="D963" s="35"/>
      <c r="E963" s="62" t="s">
        <v>150</v>
      </c>
      <c r="F963" s="27"/>
      <c r="G963" s="27"/>
      <c r="H963" s="27"/>
      <c r="I963" s="62">
        <f>TRUNC(SUM(I961:I962),2)</f>
        <v>238.08</v>
      </c>
    </row>
    <row r="964" spans="1:9" ht="71.25">
      <c r="A964" s="253" t="s">
        <v>122</v>
      </c>
      <c r="B964" s="320" t="s">
        <v>807</v>
      </c>
      <c r="C964" s="321" t="s">
        <v>808</v>
      </c>
      <c r="D964" s="253" t="s">
        <v>809</v>
      </c>
      <c r="E964" s="309">
        <v>54</v>
      </c>
      <c r="F964" s="258">
        <f>TRUNC(F965,2)</f>
        <v>71.13</v>
      </c>
      <c r="G964" s="257">
        <f>TRUNC(F964*1.2882,2)</f>
        <v>91.62</v>
      </c>
      <c r="H964" s="257">
        <f>TRUNC(F964*E964,2)</f>
        <v>3841.02</v>
      </c>
      <c r="I964" s="258">
        <f>TRUNC(E964*G964,2)</f>
        <v>4947.48</v>
      </c>
    </row>
    <row r="965" spans="1:9" ht="71.25">
      <c r="A965" s="35"/>
      <c r="B965" s="87" t="s">
        <v>807</v>
      </c>
      <c r="C965" s="69" t="s">
        <v>808</v>
      </c>
      <c r="D965" s="35" t="s">
        <v>809</v>
      </c>
      <c r="E965" s="62">
        <v>1</v>
      </c>
      <c r="F965" s="27">
        <f>TRUNC(71.1369414,2)</f>
        <v>71.13</v>
      </c>
      <c r="G965" s="27">
        <f>TRUNC(E965*F965,2)</f>
        <v>71.13</v>
      </c>
      <c r="H965" s="27"/>
      <c r="I965" s="70"/>
    </row>
    <row r="966" spans="1:9" ht="28.5">
      <c r="A966" s="35"/>
      <c r="B966" s="87" t="s">
        <v>386</v>
      </c>
      <c r="C966" s="69" t="s">
        <v>387</v>
      </c>
      <c r="D966" s="35" t="s">
        <v>45</v>
      </c>
      <c r="E966" s="62">
        <v>3.09</v>
      </c>
      <c r="F966" s="27">
        <f>TRUNC(13.08,2)</f>
        <v>13.08</v>
      </c>
      <c r="G966" s="27">
        <f>TRUNC(E966*F966,2)</f>
        <v>40.41</v>
      </c>
      <c r="H966" s="27"/>
      <c r="I966" s="70"/>
    </row>
    <row r="967" spans="1:9" ht="15">
      <c r="A967" s="35"/>
      <c r="B967" s="87" t="s">
        <v>810</v>
      </c>
      <c r="C967" s="69" t="s">
        <v>811</v>
      </c>
      <c r="D967" s="35" t="s">
        <v>45</v>
      </c>
      <c r="E967" s="62">
        <v>0.75</v>
      </c>
      <c r="F967" s="27">
        <f>TRUNC(40.3365,2)</f>
        <v>40.33</v>
      </c>
      <c r="G967" s="27">
        <f>TRUNC(E967*F967,2)</f>
        <v>30.24</v>
      </c>
      <c r="H967" s="27"/>
      <c r="I967" s="70"/>
    </row>
    <row r="968" spans="1:9" ht="15">
      <c r="A968" s="35"/>
      <c r="B968" s="87" t="s">
        <v>812</v>
      </c>
      <c r="C968" s="69" t="s">
        <v>813</v>
      </c>
      <c r="D968" s="35" t="s">
        <v>45</v>
      </c>
      <c r="E968" s="62">
        <v>0.004</v>
      </c>
      <c r="F968" s="27">
        <f>TRUNC(116.8416,2)</f>
        <v>116.84</v>
      </c>
      <c r="G968" s="27">
        <f>TRUNC(E968*F968,2)</f>
        <v>0.46</v>
      </c>
      <c r="H968" s="27"/>
      <c r="I968" s="70"/>
    </row>
    <row r="969" spans="1:9" ht="15">
      <c r="A969" s="35"/>
      <c r="B969" s="87"/>
      <c r="C969" s="69"/>
      <c r="D969" s="35"/>
      <c r="E969" s="62" t="s">
        <v>150</v>
      </c>
      <c r="F969" s="27"/>
      <c r="G969" s="27">
        <f>TRUNC(SUM(G966:G968),2)</f>
        <v>71.11</v>
      </c>
      <c r="H969" s="27"/>
      <c r="I969" s="70"/>
    </row>
    <row r="970" spans="1:9" ht="29.25">
      <c r="A970" s="253" t="s">
        <v>53</v>
      </c>
      <c r="B970" s="320" t="s">
        <v>814</v>
      </c>
      <c r="C970" s="321" t="s">
        <v>983</v>
      </c>
      <c r="D970" s="253" t="s">
        <v>268</v>
      </c>
      <c r="E970" s="309">
        <f>E964*12.5</f>
        <v>675</v>
      </c>
      <c r="F970" s="258">
        <f>TRUNC(F971,2)</f>
        <v>0.6</v>
      </c>
      <c r="G970" s="257">
        <f>TRUNC(F970*1.2882,2)</f>
        <v>0.77</v>
      </c>
      <c r="H970" s="257">
        <f>TRUNC(F970*E970,2)</f>
        <v>405</v>
      </c>
      <c r="I970" s="258">
        <f>TRUNC(E970*G970,2)</f>
        <v>519.75</v>
      </c>
    </row>
    <row r="971" spans="1:9" ht="15">
      <c r="A971" s="35"/>
      <c r="B971" s="87" t="s">
        <v>814</v>
      </c>
      <c r="C971" s="69" t="s">
        <v>815</v>
      </c>
      <c r="D971" s="35" t="s">
        <v>816</v>
      </c>
      <c r="E971" s="62">
        <v>1</v>
      </c>
      <c r="F971" s="27">
        <f>TRUNC(0.60435,2)</f>
        <v>0.6</v>
      </c>
      <c r="G971" s="27">
        <f>TRUNC(E971*F971,2)</f>
        <v>0.6</v>
      </c>
      <c r="H971" s="27"/>
      <c r="I971" s="70"/>
    </row>
    <row r="972" spans="1:9" ht="57">
      <c r="A972" s="35"/>
      <c r="B972" s="87" t="s">
        <v>817</v>
      </c>
      <c r="C972" s="69" t="s">
        <v>818</v>
      </c>
      <c r="D972" s="35" t="s">
        <v>538</v>
      </c>
      <c r="E972" s="62">
        <v>0.0045</v>
      </c>
      <c r="F972" s="27">
        <f>TRUNC(134.3,2)</f>
        <v>134.3</v>
      </c>
      <c r="G972" s="27">
        <f>TRUNC(E972*F972,2)</f>
        <v>0.6</v>
      </c>
      <c r="H972" s="27"/>
      <c r="I972" s="70"/>
    </row>
    <row r="973" spans="1:9" ht="15">
      <c r="A973" s="35"/>
      <c r="B973" s="87"/>
      <c r="C973" s="69"/>
      <c r="D973" s="35"/>
      <c r="E973" s="62" t="s">
        <v>150</v>
      </c>
      <c r="F973" s="27"/>
      <c r="G973" s="27">
        <f>TRUNC(SUM(G972:G972),2)</f>
        <v>0.6</v>
      </c>
      <c r="H973" s="27"/>
      <c r="I973" s="70"/>
    </row>
    <row r="974" spans="1:9" s="22" customFormat="1" ht="15">
      <c r="A974" s="86" t="s">
        <v>491</v>
      </c>
      <c r="B974" s="82"/>
      <c r="C974" s="46" t="s">
        <v>988</v>
      </c>
      <c r="D974" s="112"/>
      <c r="E974" s="47"/>
      <c r="F974" s="48"/>
      <c r="G974" s="48"/>
      <c r="H974" s="49">
        <f>H959+H964+H970</f>
        <v>9245.7</v>
      </c>
      <c r="I974" s="49">
        <f>I959+I964+I970</f>
        <v>11907.72</v>
      </c>
    </row>
    <row r="975" spans="1:9" s="22" customFormat="1" ht="15">
      <c r="A975" s="86" t="s">
        <v>491</v>
      </c>
      <c r="B975" s="82"/>
      <c r="C975" s="46" t="s">
        <v>146</v>
      </c>
      <c r="D975" s="112"/>
      <c r="E975" s="47"/>
      <c r="F975" s="48"/>
      <c r="G975" s="48"/>
      <c r="H975" s="49">
        <f>H68+H116+H224+H498+H774+H845+H923+H957+H974</f>
        <v>337730.34</v>
      </c>
      <c r="I975" s="49">
        <f>I68+I116+I224+I498+I774+I845+I923+I957+I974</f>
        <v>435026.88</v>
      </c>
    </row>
    <row r="976" spans="1:9" ht="14.25">
      <c r="A976" s="88"/>
      <c r="B976" s="94"/>
      <c r="C976" s="71"/>
      <c r="D976" s="114"/>
      <c r="E976" s="71"/>
      <c r="F976" s="71"/>
      <c r="G976" s="71"/>
      <c r="H976" s="71"/>
      <c r="I976" s="72"/>
    </row>
    <row r="977" spans="1:9" ht="14.25">
      <c r="A977" s="88"/>
      <c r="B977" s="94"/>
      <c r="C977" s="71"/>
      <c r="D977" s="114"/>
      <c r="E977" s="71"/>
      <c r="F977" s="71"/>
      <c r="G977" s="71"/>
      <c r="H977" s="71"/>
      <c r="I977" s="72"/>
    </row>
    <row r="978" spans="1:9" ht="14.25">
      <c r="A978" s="88"/>
      <c r="B978" s="94"/>
      <c r="C978" s="71"/>
      <c r="D978" s="114"/>
      <c r="E978" s="71"/>
      <c r="F978" s="71"/>
      <c r="G978" s="71"/>
      <c r="H978" s="71"/>
      <c r="I978" s="72"/>
    </row>
    <row r="979" spans="1:9" ht="14.25">
      <c r="A979" s="88"/>
      <c r="B979" s="94"/>
      <c r="C979" s="71"/>
      <c r="D979" s="114"/>
      <c r="E979" s="71"/>
      <c r="F979" s="71"/>
      <c r="G979" s="71"/>
      <c r="H979" s="71"/>
      <c r="I979" s="72"/>
    </row>
    <row r="980" spans="1:9" ht="14.25">
      <c r="A980" s="88"/>
      <c r="B980" s="94"/>
      <c r="C980" s="71"/>
      <c r="D980" s="114"/>
      <c r="E980" s="71"/>
      <c r="F980" s="71"/>
      <c r="G980" s="71"/>
      <c r="H980" s="71"/>
      <c r="I980" s="72"/>
    </row>
    <row r="981" spans="1:9" ht="14.25">
      <c r="A981" s="88"/>
      <c r="B981" s="94"/>
      <c r="C981" s="71"/>
      <c r="D981" s="114"/>
      <c r="E981" s="71"/>
      <c r="F981" s="71"/>
      <c r="G981" s="71"/>
      <c r="H981" s="71"/>
      <c r="I981" s="72"/>
    </row>
    <row r="982" spans="1:9" ht="14.25">
      <c r="A982" s="88"/>
      <c r="B982" s="94"/>
      <c r="C982" s="71"/>
      <c r="D982" s="114"/>
      <c r="E982" s="71"/>
      <c r="F982" s="71"/>
      <c r="G982" s="71"/>
      <c r="H982" s="71"/>
      <c r="I982" s="72"/>
    </row>
    <row r="983" spans="1:9" ht="14.25">
      <c r="A983" s="88"/>
      <c r="B983" s="94"/>
      <c r="C983" s="71"/>
      <c r="D983" s="114"/>
      <c r="E983" s="71"/>
      <c r="F983" s="71"/>
      <c r="G983" s="71"/>
      <c r="H983" s="71"/>
      <c r="I983" s="72"/>
    </row>
    <row r="984" spans="1:9" ht="14.25">
      <c r="A984" s="88"/>
      <c r="B984" s="94"/>
      <c r="C984" s="71"/>
      <c r="D984" s="114"/>
      <c r="E984" s="71"/>
      <c r="F984" s="71"/>
      <c r="G984" s="71"/>
      <c r="H984" s="71"/>
      <c r="I984" s="72"/>
    </row>
    <row r="985" spans="1:9" ht="14.25">
      <c r="A985" s="88"/>
      <c r="B985" s="94"/>
      <c r="C985" s="71"/>
      <c r="D985" s="114"/>
      <c r="E985" s="71"/>
      <c r="F985" s="71"/>
      <c r="G985" s="71"/>
      <c r="H985" s="71"/>
      <c r="I985" s="72"/>
    </row>
    <row r="986" spans="1:9" ht="14.25">
      <c r="A986" s="88"/>
      <c r="B986" s="94"/>
      <c r="C986" s="71"/>
      <c r="D986" s="114"/>
      <c r="E986" s="71"/>
      <c r="F986" s="71"/>
      <c r="G986" s="71"/>
      <c r="H986" s="71"/>
      <c r="I986" s="72"/>
    </row>
    <row r="987" spans="1:9" ht="14.25">
      <c r="A987" s="88"/>
      <c r="B987" s="94"/>
      <c r="C987" s="71"/>
      <c r="D987" s="114"/>
      <c r="E987" s="71"/>
      <c r="F987" s="71"/>
      <c r="G987" s="71"/>
      <c r="H987" s="71"/>
      <c r="I987" s="72"/>
    </row>
    <row r="988" spans="1:9" ht="14.25">
      <c r="A988" s="88"/>
      <c r="B988" s="94"/>
      <c r="C988" s="71"/>
      <c r="D988" s="114"/>
      <c r="E988" s="71"/>
      <c r="F988" s="71"/>
      <c r="G988" s="71"/>
      <c r="H988" s="71"/>
      <c r="I988" s="72"/>
    </row>
    <row r="989" spans="1:9" ht="14.25">
      <c r="A989" s="88"/>
      <c r="B989" s="94"/>
      <c r="C989" s="71"/>
      <c r="D989" s="114"/>
      <c r="E989" s="71"/>
      <c r="F989" s="71"/>
      <c r="G989" s="71"/>
      <c r="H989" s="71"/>
      <c r="I989" s="72"/>
    </row>
    <row r="990" spans="1:9" ht="14.25">
      <c r="A990" s="88"/>
      <c r="B990" s="94"/>
      <c r="C990" s="71"/>
      <c r="D990" s="114"/>
      <c r="E990" s="71"/>
      <c r="F990" s="71"/>
      <c r="G990" s="71"/>
      <c r="H990" s="71"/>
      <c r="I990" s="72"/>
    </row>
    <row r="991" spans="1:9" ht="14.25">
      <c r="A991" s="88"/>
      <c r="B991" s="94"/>
      <c r="C991" s="71"/>
      <c r="D991" s="114"/>
      <c r="E991" s="71"/>
      <c r="F991" s="71"/>
      <c r="G991" s="71"/>
      <c r="H991" s="71"/>
      <c r="I991" s="72"/>
    </row>
    <row r="992" spans="1:9" ht="14.25">
      <c r="A992" s="88"/>
      <c r="B992" s="94"/>
      <c r="C992" s="71"/>
      <c r="D992" s="114"/>
      <c r="E992" s="71"/>
      <c r="F992" s="71"/>
      <c r="G992" s="71"/>
      <c r="H992" s="71"/>
      <c r="I992" s="72"/>
    </row>
    <row r="993" spans="1:9" ht="14.25">
      <c r="A993" s="88"/>
      <c r="B993" s="94"/>
      <c r="C993" s="71"/>
      <c r="D993" s="114"/>
      <c r="E993" s="71"/>
      <c r="F993" s="71"/>
      <c r="G993" s="71"/>
      <c r="H993" s="71"/>
      <c r="I993" s="72"/>
    </row>
    <row r="994" spans="1:9" ht="14.25">
      <c r="A994" s="88"/>
      <c r="B994" s="94"/>
      <c r="C994" s="71"/>
      <c r="D994" s="114"/>
      <c r="E994" s="71"/>
      <c r="F994" s="71"/>
      <c r="G994" s="71"/>
      <c r="H994" s="71"/>
      <c r="I994" s="72"/>
    </row>
    <row r="995" spans="1:9" ht="14.25">
      <c r="A995" s="88"/>
      <c r="B995" s="94"/>
      <c r="C995" s="71"/>
      <c r="D995" s="114"/>
      <c r="E995" s="71"/>
      <c r="F995" s="71"/>
      <c r="G995" s="71"/>
      <c r="H995" s="71"/>
      <c r="I995" s="72"/>
    </row>
    <row r="996" spans="1:9" ht="14.25">
      <c r="A996" s="88"/>
      <c r="B996" s="94"/>
      <c r="C996" s="71"/>
      <c r="D996" s="114"/>
      <c r="E996" s="71"/>
      <c r="F996" s="71"/>
      <c r="G996" s="71"/>
      <c r="H996" s="71"/>
      <c r="I996" s="72"/>
    </row>
    <row r="997" spans="1:9" ht="14.25">
      <c r="A997" s="88"/>
      <c r="B997" s="94"/>
      <c r="C997" s="71"/>
      <c r="D997" s="114"/>
      <c r="E997" s="71"/>
      <c r="F997" s="71"/>
      <c r="G997" s="71"/>
      <c r="H997" s="71"/>
      <c r="I997" s="72"/>
    </row>
    <row r="998" spans="1:9" ht="14.25">
      <c r="A998" s="88"/>
      <c r="B998" s="94"/>
      <c r="C998" s="71"/>
      <c r="D998" s="114"/>
      <c r="E998" s="71"/>
      <c r="F998" s="71"/>
      <c r="G998" s="71"/>
      <c r="H998" s="71"/>
      <c r="I998" s="72"/>
    </row>
    <row r="999" spans="1:9" ht="14.25">
      <c r="A999" s="88"/>
      <c r="B999" s="94"/>
      <c r="C999" s="71"/>
      <c r="D999" s="114"/>
      <c r="E999" s="71"/>
      <c r="F999" s="71"/>
      <c r="G999" s="71"/>
      <c r="H999" s="71"/>
      <c r="I999" s="72"/>
    </row>
    <row r="1000" spans="1:9" ht="14.25">
      <c r="A1000" s="88"/>
      <c r="B1000" s="94"/>
      <c r="C1000" s="71"/>
      <c r="D1000" s="114"/>
      <c r="E1000" s="71"/>
      <c r="F1000" s="71"/>
      <c r="G1000" s="71"/>
      <c r="H1000" s="71"/>
      <c r="I1000" s="72"/>
    </row>
    <row r="1001" spans="1:9" ht="14.25">
      <c r="A1001" s="88"/>
      <c r="B1001" s="94"/>
      <c r="C1001" s="71"/>
      <c r="D1001" s="114"/>
      <c r="E1001" s="71"/>
      <c r="F1001" s="71"/>
      <c r="G1001" s="71"/>
      <c r="H1001" s="71"/>
      <c r="I1001" s="72"/>
    </row>
    <row r="1002" spans="1:9" ht="14.25">
      <c r="A1002" s="88"/>
      <c r="B1002" s="94"/>
      <c r="C1002" s="71"/>
      <c r="D1002" s="114"/>
      <c r="E1002" s="71"/>
      <c r="F1002" s="71"/>
      <c r="G1002" s="71"/>
      <c r="H1002" s="71"/>
      <c r="I1002" s="72"/>
    </row>
    <row r="1003" spans="1:9" ht="14.25">
      <c r="A1003" s="88"/>
      <c r="B1003" s="94"/>
      <c r="C1003" s="71"/>
      <c r="D1003" s="114"/>
      <c r="E1003" s="71"/>
      <c r="F1003" s="71"/>
      <c r="G1003" s="71"/>
      <c r="H1003" s="71"/>
      <c r="I1003" s="72"/>
    </row>
    <row r="1004" spans="1:9" ht="14.25">
      <c r="A1004" s="88"/>
      <c r="B1004" s="94"/>
      <c r="C1004" s="71"/>
      <c r="D1004" s="114"/>
      <c r="E1004" s="71"/>
      <c r="F1004" s="71"/>
      <c r="G1004" s="71"/>
      <c r="H1004" s="71"/>
      <c r="I1004" s="72"/>
    </row>
    <row r="1005" spans="1:9" ht="14.25">
      <c r="A1005" s="88"/>
      <c r="B1005" s="94"/>
      <c r="C1005" s="71"/>
      <c r="D1005" s="114"/>
      <c r="E1005" s="71"/>
      <c r="F1005" s="71"/>
      <c r="G1005" s="71"/>
      <c r="H1005" s="71"/>
      <c r="I1005" s="72"/>
    </row>
    <row r="1006" spans="1:9" ht="14.25">
      <c r="A1006" s="88"/>
      <c r="B1006" s="94"/>
      <c r="C1006" s="71"/>
      <c r="D1006" s="114"/>
      <c r="E1006" s="71"/>
      <c r="F1006" s="71"/>
      <c r="G1006" s="71"/>
      <c r="H1006" s="71"/>
      <c r="I1006" s="72"/>
    </row>
    <row r="1007" spans="1:9" ht="14.25">
      <c r="A1007" s="88"/>
      <c r="B1007" s="94"/>
      <c r="C1007" s="71"/>
      <c r="D1007" s="114"/>
      <c r="E1007" s="71"/>
      <c r="F1007" s="71"/>
      <c r="G1007" s="71"/>
      <c r="H1007" s="71"/>
      <c r="I1007" s="72"/>
    </row>
    <row r="1008" spans="1:9" ht="14.25">
      <c r="A1008" s="88"/>
      <c r="B1008" s="94"/>
      <c r="C1008" s="71"/>
      <c r="D1008" s="114"/>
      <c r="E1008" s="71"/>
      <c r="F1008" s="71"/>
      <c r="G1008" s="71"/>
      <c r="H1008" s="71"/>
      <c r="I1008" s="72"/>
    </row>
    <row r="1009" spans="1:9" ht="14.25">
      <c r="A1009" s="88"/>
      <c r="B1009" s="94"/>
      <c r="C1009" s="71"/>
      <c r="D1009" s="114"/>
      <c r="E1009" s="71"/>
      <c r="F1009" s="71"/>
      <c r="G1009" s="71"/>
      <c r="H1009" s="71"/>
      <c r="I1009" s="72"/>
    </row>
    <row r="1010" spans="1:9" ht="14.25">
      <c r="A1010" s="88"/>
      <c r="B1010" s="94"/>
      <c r="C1010" s="71"/>
      <c r="D1010" s="114"/>
      <c r="E1010" s="71"/>
      <c r="F1010" s="71"/>
      <c r="G1010" s="71"/>
      <c r="H1010" s="71"/>
      <c r="I1010" s="72"/>
    </row>
    <row r="1011" spans="1:9" ht="14.25">
      <c r="A1011" s="88"/>
      <c r="B1011" s="94"/>
      <c r="C1011" s="71"/>
      <c r="D1011" s="114"/>
      <c r="E1011" s="71"/>
      <c r="F1011" s="71"/>
      <c r="G1011" s="71"/>
      <c r="H1011" s="71"/>
      <c r="I1011" s="72"/>
    </row>
    <row r="1012" spans="1:9" ht="14.25">
      <c r="A1012" s="88"/>
      <c r="B1012" s="94"/>
      <c r="C1012" s="71"/>
      <c r="D1012" s="114"/>
      <c r="E1012" s="71"/>
      <c r="F1012" s="71"/>
      <c r="G1012" s="71"/>
      <c r="H1012" s="71"/>
      <c r="I1012" s="72"/>
    </row>
    <row r="1013" spans="1:9" ht="14.25">
      <c r="A1013" s="88"/>
      <c r="B1013" s="94"/>
      <c r="C1013" s="71"/>
      <c r="D1013" s="114"/>
      <c r="E1013" s="71"/>
      <c r="F1013" s="71"/>
      <c r="G1013" s="71"/>
      <c r="H1013" s="71"/>
      <c r="I1013" s="72"/>
    </row>
    <row r="1014" spans="1:9" ht="14.25">
      <c r="A1014" s="88"/>
      <c r="B1014" s="94"/>
      <c r="C1014" s="71"/>
      <c r="D1014" s="114"/>
      <c r="E1014" s="71"/>
      <c r="F1014" s="71"/>
      <c r="G1014" s="71"/>
      <c r="H1014" s="71"/>
      <c r="I1014" s="72"/>
    </row>
    <row r="1015" spans="1:9" ht="14.25">
      <c r="A1015" s="88"/>
      <c r="B1015" s="94"/>
      <c r="C1015" s="71"/>
      <c r="D1015" s="114"/>
      <c r="E1015" s="71"/>
      <c r="F1015" s="71"/>
      <c r="G1015" s="71"/>
      <c r="H1015" s="71"/>
      <c r="I1015" s="72"/>
    </row>
    <row r="1016" spans="1:9" ht="14.25">
      <c r="A1016" s="88"/>
      <c r="B1016" s="94"/>
      <c r="C1016" s="71"/>
      <c r="D1016" s="114"/>
      <c r="E1016" s="71"/>
      <c r="F1016" s="71"/>
      <c r="G1016" s="71"/>
      <c r="H1016" s="71"/>
      <c r="I1016" s="72"/>
    </row>
    <row r="1017" spans="1:9" ht="14.25">
      <c r="A1017" s="88"/>
      <c r="B1017" s="94"/>
      <c r="C1017" s="71"/>
      <c r="D1017" s="114"/>
      <c r="E1017" s="71"/>
      <c r="F1017" s="71"/>
      <c r="G1017" s="71"/>
      <c r="H1017" s="71"/>
      <c r="I1017" s="72"/>
    </row>
    <row r="1018" spans="1:9" ht="14.25">
      <c r="A1018" s="88"/>
      <c r="B1018" s="94"/>
      <c r="C1018" s="71"/>
      <c r="D1018" s="114"/>
      <c r="E1018" s="71"/>
      <c r="F1018" s="71"/>
      <c r="G1018" s="71"/>
      <c r="H1018" s="71"/>
      <c r="I1018" s="72"/>
    </row>
    <row r="1019" spans="1:9" ht="14.25">
      <c r="A1019" s="88"/>
      <c r="B1019" s="94"/>
      <c r="C1019" s="71"/>
      <c r="D1019" s="114"/>
      <c r="E1019" s="71"/>
      <c r="F1019" s="71"/>
      <c r="G1019" s="71"/>
      <c r="H1019" s="71"/>
      <c r="I1019" s="72"/>
    </row>
    <row r="1020" spans="1:9" ht="14.25">
      <c r="A1020" s="88"/>
      <c r="B1020" s="94"/>
      <c r="C1020" s="71"/>
      <c r="D1020" s="114"/>
      <c r="E1020" s="71"/>
      <c r="F1020" s="71"/>
      <c r="G1020" s="71"/>
      <c r="H1020" s="71"/>
      <c r="I1020" s="72"/>
    </row>
    <row r="1021" spans="1:9" ht="14.25">
      <c r="A1021" s="88"/>
      <c r="B1021" s="94"/>
      <c r="C1021" s="71"/>
      <c r="D1021" s="114"/>
      <c r="E1021" s="71"/>
      <c r="F1021" s="71"/>
      <c r="G1021" s="71"/>
      <c r="H1021" s="71"/>
      <c r="I1021" s="72"/>
    </row>
    <row r="1022" spans="1:9" ht="14.25">
      <c r="A1022" s="88"/>
      <c r="B1022" s="94"/>
      <c r="C1022" s="71"/>
      <c r="D1022" s="114"/>
      <c r="E1022" s="71"/>
      <c r="F1022" s="71"/>
      <c r="G1022" s="71"/>
      <c r="H1022" s="71"/>
      <c r="I1022" s="72"/>
    </row>
    <row r="1023" spans="1:9" ht="14.25">
      <c r="A1023" s="88"/>
      <c r="B1023" s="94"/>
      <c r="C1023" s="71"/>
      <c r="D1023" s="114"/>
      <c r="E1023" s="71"/>
      <c r="F1023" s="71"/>
      <c r="G1023" s="71"/>
      <c r="H1023" s="71"/>
      <c r="I1023" s="72"/>
    </row>
    <row r="1024" spans="1:9" ht="14.25">
      <c r="A1024" s="88"/>
      <c r="B1024" s="94"/>
      <c r="C1024" s="71"/>
      <c r="D1024" s="114"/>
      <c r="E1024" s="71"/>
      <c r="F1024" s="71"/>
      <c r="G1024" s="71"/>
      <c r="H1024" s="71"/>
      <c r="I1024" s="72"/>
    </row>
    <row r="1025" spans="1:9" ht="14.25">
      <c r="A1025" s="88"/>
      <c r="B1025" s="94"/>
      <c r="C1025" s="71"/>
      <c r="D1025" s="114"/>
      <c r="E1025" s="71"/>
      <c r="F1025" s="71"/>
      <c r="G1025" s="71"/>
      <c r="H1025" s="71"/>
      <c r="I1025" s="72"/>
    </row>
    <row r="1026" spans="1:9" ht="14.25">
      <c r="A1026" s="88"/>
      <c r="B1026" s="94"/>
      <c r="C1026" s="71"/>
      <c r="D1026" s="114"/>
      <c r="E1026" s="71"/>
      <c r="F1026" s="71"/>
      <c r="G1026" s="71"/>
      <c r="H1026" s="71"/>
      <c r="I1026" s="72"/>
    </row>
    <row r="1027" spans="1:9" ht="14.25">
      <c r="A1027" s="88"/>
      <c r="B1027" s="94"/>
      <c r="C1027" s="71"/>
      <c r="D1027" s="114"/>
      <c r="E1027" s="71"/>
      <c r="F1027" s="71"/>
      <c r="G1027" s="71"/>
      <c r="H1027" s="71"/>
      <c r="I1027" s="72"/>
    </row>
    <row r="1028" spans="1:9" ht="14.25">
      <c r="A1028" s="88"/>
      <c r="B1028" s="94"/>
      <c r="C1028" s="71"/>
      <c r="D1028" s="114"/>
      <c r="E1028" s="71"/>
      <c r="F1028" s="71"/>
      <c r="G1028" s="71"/>
      <c r="H1028" s="71"/>
      <c r="I1028" s="72"/>
    </row>
    <row r="1029" spans="1:9" ht="14.25">
      <c r="A1029" s="88"/>
      <c r="B1029" s="94"/>
      <c r="C1029" s="71"/>
      <c r="D1029" s="114"/>
      <c r="E1029" s="71"/>
      <c r="F1029" s="71"/>
      <c r="G1029" s="71"/>
      <c r="H1029" s="71"/>
      <c r="I1029" s="72"/>
    </row>
    <row r="1030" spans="1:9" ht="14.25">
      <c r="A1030" s="88"/>
      <c r="B1030" s="94"/>
      <c r="C1030" s="71"/>
      <c r="D1030" s="114"/>
      <c r="E1030" s="71"/>
      <c r="F1030" s="71"/>
      <c r="G1030" s="71"/>
      <c r="H1030" s="71"/>
      <c r="I1030" s="72"/>
    </row>
    <row r="1031" spans="1:9" ht="14.25">
      <c r="A1031" s="88"/>
      <c r="B1031" s="94"/>
      <c r="C1031" s="71"/>
      <c r="D1031" s="114"/>
      <c r="E1031" s="71"/>
      <c r="F1031" s="71"/>
      <c r="G1031" s="71"/>
      <c r="H1031" s="71"/>
      <c r="I1031" s="72"/>
    </row>
    <row r="1032" spans="1:9" ht="14.25">
      <c r="A1032" s="88"/>
      <c r="B1032" s="94"/>
      <c r="C1032" s="71"/>
      <c r="D1032" s="114"/>
      <c r="E1032" s="71"/>
      <c r="F1032" s="71"/>
      <c r="G1032" s="71"/>
      <c r="H1032" s="71"/>
      <c r="I1032" s="72"/>
    </row>
    <row r="1033" spans="1:9" ht="14.25">
      <c r="A1033" s="88"/>
      <c r="B1033" s="94"/>
      <c r="C1033" s="71"/>
      <c r="D1033" s="114"/>
      <c r="E1033" s="71"/>
      <c r="F1033" s="71"/>
      <c r="G1033" s="71"/>
      <c r="H1033" s="71"/>
      <c r="I1033" s="72"/>
    </row>
    <row r="1034" spans="1:9" ht="14.25">
      <c r="A1034" s="88"/>
      <c r="B1034" s="94"/>
      <c r="C1034" s="71"/>
      <c r="D1034" s="114"/>
      <c r="E1034" s="71"/>
      <c r="F1034" s="71"/>
      <c r="G1034" s="71"/>
      <c r="H1034" s="71"/>
      <c r="I1034" s="72"/>
    </row>
    <row r="1035" spans="1:9" ht="14.25">
      <c r="A1035" s="88"/>
      <c r="B1035" s="94"/>
      <c r="C1035" s="71"/>
      <c r="D1035" s="114"/>
      <c r="E1035" s="71"/>
      <c r="F1035" s="71"/>
      <c r="G1035" s="71"/>
      <c r="H1035" s="71"/>
      <c r="I1035" s="72"/>
    </row>
    <row r="1036" spans="1:9" ht="14.25">
      <c r="A1036" s="88"/>
      <c r="B1036" s="94"/>
      <c r="C1036" s="71"/>
      <c r="D1036" s="114"/>
      <c r="E1036" s="71"/>
      <c r="F1036" s="71"/>
      <c r="G1036" s="71"/>
      <c r="H1036" s="71"/>
      <c r="I1036" s="72"/>
    </row>
    <row r="1037" spans="1:9" ht="14.25">
      <c r="A1037" s="88"/>
      <c r="B1037" s="94"/>
      <c r="C1037" s="71"/>
      <c r="D1037" s="114"/>
      <c r="E1037" s="71"/>
      <c r="F1037" s="71"/>
      <c r="G1037" s="71"/>
      <c r="H1037" s="71"/>
      <c r="I1037" s="72"/>
    </row>
    <row r="1038" spans="1:9" ht="14.25">
      <c r="A1038" s="88"/>
      <c r="B1038" s="94"/>
      <c r="C1038" s="71"/>
      <c r="D1038" s="114"/>
      <c r="E1038" s="71"/>
      <c r="F1038" s="71"/>
      <c r="G1038" s="71"/>
      <c r="H1038" s="71"/>
      <c r="I1038" s="72"/>
    </row>
    <row r="1039" spans="1:9" ht="14.25">
      <c r="A1039" s="88"/>
      <c r="B1039" s="94"/>
      <c r="C1039" s="71"/>
      <c r="D1039" s="114"/>
      <c r="E1039" s="71"/>
      <c r="F1039" s="71"/>
      <c r="G1039" s="71"/>
      <c r="H1039" s="71"/>
      <c r="I1039" s="72"/>
    </row>
    <row r="1040" spans="1:9" ht="14.25">
      <c r="A1040" s="88"/>
      <c r="B1040" s="94"/>
      <c r="C1040" s="71"/>
      <c r="D1040" s="114"/>
      <c r="E1040" s="71"/>
      <c r="F1040" s="71"/>
      <c r="G1040" s="71"/>
      <c r="H1040" s="71"/>
      <c r="I1040" s="72"/>
    </row>
    <row r="1041" spans="1:9" ht="14.25">
      <c r="A1041" s="88"/>
      <c r="B1041" s="94"/>
      <c r="C1041" s="71"/>
      <c r="D1041" s="114"/>
      <c r="E1041" s="71"/>
      <c r="F1041" s="71"/>
      <c r="G1041" s="71"/>
      <c r="H1041" s="71"/>
      <c r="I1041" s="72"/>
    </row>
    <row r="1042" spans="1:9" ht="14.25">
      <c r="A1042" s="88"/>
      <c r="B1042" s="94"/>
      <c r="C1042" s="71"/>
      <c r="D1042" s="114"/>
      <c r="E1042" s="71"/>
      <c r="F1042" s="71"/>
      <c r="G1042" s="71"/>
      <c r="H1042" s="71"/>
      <c r="I1042" s="72"/>
    </row>
    <row r="1043" spans="1:9" ht="14.25">
      <c r="A1043" s="88"/>
      <c r="B1043" s="94"/>
      <c r="C1043" s="71"/>
      <c r="D1043" s="114"/>
      <c r="E1043" s="71"/>
      <c r="F1043" s="71"/>
      <c r="G1043" s="71"/>
      <c r="H1043" s="71"/>
      <c r="I1043" s="72"/>
    </row>
    <row r="1044" spans="1:9" ht="14.25">
      <c r="A1044" s="88"/>
      <c r="B1044" s="94"/>
      <c r="C1044" s="71"/>
      <c r="D1044" s="114"/>
      <c r="E1044" s="71"/>
      <c r="F1044" s="71"/>
      <c r="G1044" s="71"/>
      <c r="H1044" s="71"/>
      <c r="I1044" s="72"/>
    </row>
    <row r="1045" spans="1:9" ht="14.25">
      <c r="A1045" s="88"/>
      <c r="B1045" s="94"/>
      <c r="C1045" s="71"/>
      <c r="D1045" s="114"/>
      <c r="E1045" s="71"/>
      <c r="F1045" s="71"/>
      <c r="G1045" s="71"/>
      <c r="H1045" s="71"/>
      <c r="I1045" s="72"/>
    </row>
    <row r="1046" spans="1:9" ht="14.25">
      <c r="A1046" s="88"/>
      <c r="B1046" s="94"/>
      <c r="C1046" s="71"/>
      <c r="D1046" s="114"/>
      <c r="E1046" s="71"/>
      <c r="F1046" s="71"/>
      <c r="G1046" s="71"/>
      <c r="H1046" s="71"/>
      <c r="I1046" s="72"/>
    </row>
    <row r="1047" spans="1:9" ht="14.25">
      <c r="A1047" s="88"/>
      <c r="B1047" s="94"/>
      <c r="C1047" s="71"/>
      <c r="D1047" s="114"/>
      <c r="E1047" s="71"/>
      <c r="F1047" s="71"/>
      <c r="G1047" s="71"/>
      <c r="H1047" s="71"/>
      <c r="I1047" s="72"/>
    </row>
    <row r="1048" spans="1:9" ht="14.25">
      <c r="A1048" s="88"/>
      <c r="B1048" s="94"/>
      <c r="C1048" s="71"/>
      <c r="D1048" s="114"/>
      <c r="E1048" s="71"/>
      <c r="F1048" s="71"/>
      <c r="G1048" s="71"/>
      <c r="H1048" s="71"/>
      <c r="I1048" s="72"/>
    </row>
    <row r="1049" spans="1:9" ht="14.25">
      <c r="A1049" s="88"/>
      <c r="B1049" s="94"/>
      <c r="C1049" s="71"/>
      <c r="D1049" s="114"/>
      <c r="E1049" s="71"/>
      <c r="F1049" s="71"/>
      <c r="G1049" s="71"/>
      <c r="H1049" s="71"/>
      <c r="I1049" s="72"/>
    </row>
    <row r="1050" spans="1:9" ht="14.25">
      <c r="A1050" s="88"/>
      <c r="B1050" s="94"/>
      <c r="C1050" s="71"/>
      <c r="D1050" s="114"/>
      <c r="E1050" s="71"/>
      <c r="F1050" s="71"/>
      <c r="G1050" s="71"/>
      <c r="H1050" s="71"/>
      <c r="I1050" s="72"/>
    </row>
    <row r="1051" spans="1:9" ht="14.25">
      <c r="A1051" s="88"/>
      <c r="B1051" s="94"/>
      <c r="C1051" s="71"/>
      <c r="D1051" s="114"/>
      <c r="E1051" s="71"/>
      <c r="F1051" s="71"/>
      <c r="G1051" s="71"/>
      <c r="H1051" s="71"/>
      <c r="I1051" s="72"/>
    </row>
    <row r="1052" spans="1:9" ht="14.25">
      <c r="A1052" s="88"/>
      <c r="B1052" s="94"/>
      <c r="C1052" s="71"/>
      <c r="D1052" s="114"/>
      <c r="E1052" s="71"/>
      <c r="F1052" s="71"/>
      <c r="G1052" s="71"/>
      <c r="H1052" s="71"/>
      <c r="I1052" s="72"/>
    </row>
    <row r="1053" spans="1:9" ht="14.25">
      <c r="A1053" s="88"/>
      <c r="B1053" s="94"/>
      <c r="C1053" s="71"/>
      <c r="D1053" s="114"/>
      <c r="E1053" s="71"/>
      <c r="F1053" s="71"/>
      <c r="G1053" s="71"/>
      <c r="H1053" s="71"/>
      <c r="I1053" s="72"/>
    </row>
    <row r="1054" spans="1:9" ht="14.25">
      <c r="A1054" s="88"/>
      <c r="B1054" s="94"/>
      <c r="C1054" s="71"/>
      <c r="D1054" s="114"/>
      <c r="E1054" s="71"/>
      <c r="F1054" s="71"/>
      <c r="G1054" s="71"/>
      <c r="H1054" s="71"/>
      <c r="I1054" s="72"/>
    </row>
    <row r="1055" spans="1:9" ht="14.25">
      <c r="A1055" s="88"/>
      <c r="B1055" s="94"/>
      <c r="C1055" s="71"/>
      <c r="D1055" s="114"/>
      <c r="E1055" s="71"/>
      <c r="F1055" s="71"/>
      <c r="G1055" s="71"/>
      <c r="H1055" s="71"/>
      <c r="I1055" s="72"/>
    </row>
    <row r="1056" spans="1:9" ht="14.25">
      <c r="A1056" s="88"/>
      <c r="B1056" s="94"/>
      <c r="C1056" s="71"/>
      <c r="D1056" s="114"/>
      <c r="E1056" s="71"/>
      <c r="F1056" s="71"/>
      <c r="G1056" s="71"/>
      <c r="H1056" s="71"/>
      <c r="I1056" s="72"/>
    </row>
    <row r="1057" spans="1:9" ht="14.25">
      <c r="A1057" s="88"/>
      <c r="B1057" s="94"/>
      <c r="C1057" s="71"/>
      <c r="D1057" s="114"/>
      <c r="E1057" s="71"/>
      <c r="F1057" s="71"/>
      <c r="G1057" s="71"/>
      <c r="H1057" s="71"/>
      <c r="I1057" s="72"/>
    </row>
    <row r="1058" spans="1:9" ht="14.25">
      <c r="A1058" s="88"/>
      <c r="B1058" s="94"/>
      <c r="C1058" s="71"/>
      <c r="D1058" s="114"/>
      <c r="E1058" s="71"/>
      <c r="F1058" s="71"/>
      <c r="G1058" s="71"/>
      <c r="H1058" s="71"/>
      <c r="I1058" s="72"/>
    </row>
    <row r="1059" spans="1:9" ht="14.25">
      <c r="A1059" s="88"/>
      <c r="B1059" s="94"/>
      <c r="C1059" s="71"/>
      <c r="D1059" s="114"/>
      <c r="E1059" s="71"/>
      <c r="F1059" s="71"/>
      <c r="G1059" s="71"/>
      <c r="H1059" s="71"/>
      <c r="I1059" s="72"/>
    </row>
    <row r="1060" spans="1:9" ht="14.25">
      <c r="A1060" s="88"/>
      <c r="B1060" s="94"/>
      <c r="C1060" s="71"/>
      <c r="D1060" s="114"/>
      <c r="E1060" s="71"/>
      <c r="F1060" s="71"/>
      <c r="G1060" s="71"/>
      <c r="H1060" s="71"/>
      <c r="I1060" s="72"/>
    </row>
    <row r="1061" spans="1:9" ht="14.25">
      <c r="A1061" s="88"/>
      <c r="B1061" s="94"/>
      <c r="C1061" s="71"/>
      <c r="D1061" s="114"/>
      <c r="E1061" s="71"/>
      <c r="F1061" s="71"/>
      <c r="G1061" s="71"/>
      <c r="H1061" s="71"/>
      <c r="I1061" s="72"/>
    </row>
    <row r="1062" spans="1:9" ht="14.25">
      <c r="A1062" s="88"/>
      <c r="B1062" s="94"/>
      <c r="C1062" s="71"/>
      <c r="D1062" s="114"/>
      <c r="E1062" s="71"/>
      <c r="F1062" s="71"/>
      <c r="G1062" s="71"/>
      <c r="H1062" s="71"/>
      <c r="I1062" s="72"/>
    </row>
    <row r="1063" spans="1:9" ht="14.25">
      <c r="A1063" s="88"/>
      <c r="B1063" s="94"/>
      <c r="C1063" s="71"/>
      <c r="D1063" s="114"/>
      <c r="E1063" s="71"/>
      <c r="F1063" s="71"/>
      <c r="G1063" s="71"/>
      <c r="H1063" s="71"/>
      <c r="I1063" s="72"/>
    </row>
    <row r="1064" spans="1:9" ht="14.25">
      <c r="A1064" s="88"/>
      <c r="B1064" s="94"/>
      <c r="C1064" s="71"/>
      <c r="D1064" s="114"/>
      <c r="E1064" s="71"/>
      <c r="F1064" s="71"/>
      <c r="G1064" s="71"/>
      <c r="H1064" s="71"/>
      <c r="I1064" s="72"/>
    </row>
    <row r="1065" spans="1:9" ht="14.25">
      <c r="A1065" s="88"/>
      <c r="B1065" s="94"/>
      <c r="C1065" s="71"/>
      <c r="D1065" s="114"/>
      <c r="E1065" s="71"/>
      <c r="F1065" s="71"/>
      <c r="G1065" s="71"/>
      <c r="H1065" s="71"/>
      <c r="I1065" s="72"/>
    </row>
    <row r="1066" spans="1:9" ht="14.25">
      <c r="A1066" s="88"/>
      <c r="B1066" s="94"/>
      <c r="C1066" s="71"/>
      <c r="D1066" s="114"/>
      <c r="E1066" s="71"/>
      <c r="F1066" s="71"/>
      <c r="G1066" s="71"/>
      <c r="H1066" s="71"/>
      <c r="I1066" s="72"/>
    </row>
    <row r="1067" spans="1:9" ht="14.25">
      <c r="A1067" s="88"/>
      <c r="B1067" s="94"/>
      <c r="C1067" s="71"/>
      <c r="D1067" s="114"/>
      <c r="E1067" s="71"/>
      <c r="F1067" s="71"/>
      <c r="G1067" s="71"/>
      <c r="H1067" s="71"/>
      <c r="I1067" s="72"/>
    </row>
    <row r="1068" spans="1:9" ht="14.25">
      <c r="A1068" s="88"/>
      <c r="B1068" s="94"/>
      <c r="C1068" s="71"/>
      <c r="D1068" s="114"/>
      <c r="E1068" s="71"/>
      <c r="F1068" s="71"/>
      <c r="G1068" s="71"/>
      <c r="H1068" s="71"/>
      <c r="I1068" s="72"/>
    </row>
    <row r="1069" spans="1:9" ht="14.25">
      <c r="A1069" s="88"/>
      <c r="B1069" s="94"/>
      <c r="C1069" s="71"/>
      <c r="D1069" s="114"/>
      <c r="E1069" s="71"/>
      <c r="F1069" s="71"/>
      <c r="G1069" s="71"/>
      <c r="H1069" s="71"/>
      <c r="I1069" s="72"/>
    </row>
    <row r="1070" spans="1:9" ht="14.25">
      <c r="A1070" s="88"/>
      <c r="B1070" s="94"/>
      <c r="C1070" s="71"/>
      <c r="D1070" s="114"/>
      <c r="E1070" s="71"/>
      <c r="F1070" s="71"/>
      <c r="G1070" s="71"/>
      <c r="H1070" s="71"/>
      <c r="I1070" s="72"/>
    </row>
    <row r="1071" spans="1:9" ht="14.25">
      <c r="A1071" s="88"/>
      <c r="B1071" s="94"/>
      <c r="C1071" s="71"/>
      <c r="D1071" s="114"/>
      <c r="E1071" s="71"/>
      <c r="F1071" s="71"/>
      <c r="G1071" s="71"/>
      <c r="H1071" s="71"/>
      <c r="I1071" s="72"/>
    </row>
    <row r="1072" spans="1:9" ht="14.25">
      <c r="A1072" s="88"/>
      <c r="B1072" s="94"/>
      <c r="C1072" s="71"/>
      <c r="D1072" s="114"/>
      <c r="E1072" s="71"/>
      <c r="F1072" s="71"/>
      <c r="G1072" s="71"/>
      <c r="H1072" s="71"/>
      <c r="I1072" s="72"/>
    </row>
    <row r="1073" spans="1:9" ht="14.25">
      <c r="A1073" s="88"/>
      <c r="B1073" s="94"/>
      <c r="C1073" s="71"/>
      <c r="D1073" s="114"/>
      <c r="E1073" s="71"/>
      <c r="F1073" s="71"/>
      <c r="G1073" s="71"/>
      <c r="H1073" s="71"/>
      <c r="I1073" s="72"/>
    </row>
    <row r="1074" spans="1:9" ht="14.25">
      <c r="A1074" s="88"/>
      <c r="B1074" s="94"/>
      <c r="C1074" s="71"/>
      <c r="D1074" s="114"/>
      <c r="E1074" s="71"/>
      <c r="F1074" s="71"/>
      <c r="G1074" s="71"/>
      <c r="H1074" s="71"/>
      <c r="I1074" s="72"/>
    </row>
    <row r="1075" spans="1:9" ht="14.25">
      <c r="A1075" s="88"/>
      <c r="B1075" s="94"/>
      <c r="C1075" s="71"/>
      <c r="D1075" s="114"/>
      <c r="E1075" s="71"/>
      <c r="F1075" s="71"/>
      <c r="G1075" s="71"/>
      <c r="H1075" s="71"/>
      <c r="I1075" s="72"/>
    </row>
    <row r="1076" spans="1:9" ht="14.25">
      <c r="A1076" s="88"/>
      <c r="B1076" s="94"/>
      <c r="C1076" s="71"/>
      <c r="D1076" s="114"/>
      <c r="E1076" s="71"/>
      <c r="F1076" s="71"/>
      <c r="G1076" s="71"/>
      <c r="H1076" s="71"/>
      <c r="I1076" s="72"/>
    </row>
    <row r="1077" spans="1:9" ht="14.25">
      <c r="A1077" s="88"/>
      <c r="B1077" s="94"/>
      <c r="C1077" s="71"/>
      <c r="D1077" s="114"/>
      <c r="E1077" s="71"/>
      <c r="F1077" s="71"/>
      <c r="G1077" s="71"/>
      <c r="H1077" s="71"/>
      <c r="I1077" s="72"/>
    </row>
    <row r="1078" spans="1:9" ht="14.25">
      <c r="A1078" s="88"/>
      <c r="B1078" s="94"/>
      <c r="C1078" s="71"/>
      <c r="D1078" s="114"/>
      <c r="E1078" s="71"/>
      <c r="F1078" s="71"/>
      <c r="G1078" s="71"/>
      <c r="H1078" s="71"/>
      <c r="I1078" s="72"/>
    </row>
    <row r="1079" spans="1:9" ht="14.25">
      <c r="A1079" s="88"/>
      <c r="B1079" s="94"/>
      <c r="C1079" s="71"/>
      <c r="D1079" s="114"/>
      <c r="E1079" s="71"/>
      <c r="F1079" s="71"/>
      <c r="G1079" s="71"/>
      <c r="H1079" s="71"/>
      <c r="I1079" s="72"/>
    </row>
    <row r="1080" spans="1:9" ht="14.25">
      <c r="A1080" s="88"/>
      <c r="B1080" s="94"/>
      <c r="C1080" s="71"/>
      <c r="D1080" s="114"/>
      <c r="E1080" s="71"/>
      <c r="F1080" s="71"/>
      <c r="G1080" s="71"/>
      <c r="H1080" s="71"/>
      <c r="I1080" s="72"/>
    </row>
    <row r="1081" spans="1:9" ht="14.25">
      <c r="A1081" s="88"/>
      <c r="B1081" s="94"/>
      <c r="C1081" s="71"/>
      <c r="D1081" s="114"/>
      <c r="E1081" s="71"/>
      <c r="F1081" s="71"/>
      <c r="G1081" s="71"/>
      <c r="H1081" s="71"/>
      <c r="I1081" s="72"/>
    </row>
    <row r="1082" spans="1:9" ht="14.25">
      <c r="A1082" s="88"/>
      <c r="B1082" s="94"/>
      <c r="C1082" s="71"/>
      <c r="D1082" s="114"/>
      <c r="E1082" s="71"/>
      <c r="F1082" s="71"/>
      <c r="G1082" s="71"/>
      <c r="H1082" s="71"/>
      <c r="I1082" s="72"/>
    </row>
    <row r="1083" spans="1:9" ht="14.25">
      <c r="A1083" s="88"/>
      <c r="B1083" s="94"/>
      <c r="C1083" s="71"/>
      <c r="D1083" s="114"/>
      <c r="E1083" s="71"/>
      <c r="F1083" s="71"/>
      <c r="G1083" s="71"/>
      <c r="H1083" s="71"/>
      <c r="I1083" s="72"/>
    </row>
    <row r="1084" spans="1:9" ht="14.25">
      <c r="A1084" s="88"/>
      <c r="B1084" s="94"/>
      <c r="C1084" s="71"/>
      <c r="D1084" s="114"/>
      <c r="E1084" s="71"/>
      <c r="F1084" s="71"/>
      <c r="G1084" s="71"/>
      <c r="H1084" s="71"/>
      <c r="I1084" s="72"/>
    </row>
    <row r="1085" spans="1:9" ht="14.25">
      <c r="A1085" s="88"/>
      <c r="B1085" s="94"/>
      <c r="C1085" s="71"/>
      <c r="D1085" s="114"/>
      <c r="E1085" s="71"/>
      <c r="F1085" s="71"/>
      <c r="G1085" s="71"/>
      <c r="H1085" s="71"/>
      <c r="I1085" s="72"/>
    </row>
    <row r="1086" spans="1:9" ht="14.25">
      <c r="A1086" s="88"/>
      <c r="B1086" s="94"/>
      <c r="C1086" s="71"/>
      <c r="D1086" s="114"/>
      <c r="E1086" s="71"/>
      <c r="F1086" s="71"/>
      <c r="G1086" s="71"/>
      <c r="H1086" s="71"/>
      <c r="I1086" s="72"/>
    </row>
    <row r="1087" spans="1:9" ht="14.25">
      <c r="A1087" s="88"/>
      <c r="B1087" s="94"/>
      <c r="C1087" s="71"/>
      <c r="D1087" s="114"/>
      <c r="E1087" s="71"/>
      <c r="F1087" s="71"/>
      <c r="G1087" s="71"/>
      <c r="H1087" s="71"/>
      <c r="I1087" s="72"/>
    </row>
    <row r="1088" spans="1:9" ht="14.25">
      <c r="A1088" s="88"/>
      <c r="B1088" s="94"/>
      <c r="C1088" s="71"/>
      <c r="D1088" s="114"/>
      <c r="E1088" s="71"/>
      <c r="F1088" s="71"/>
      <c r="G1088" s="71"/>
      <c r="H1088" s="71"/>
      <c r="I1088" s="72"/>
    </row>
    <row r="1089" spans="1:9" ht="14.25">
      <c r="A1089" s="88"/>
      <c r="B1089" s="94"/>
      <c r="C1089" s="71"/>
      <c r="D1089" s="114"/>
      <c r="E1089" s="71"/>
      <c r="F1089" s="71"/>
      <c r="G1089" s="71"/>
      <c r="H1089" s="71"/>
      <c r="I1089" s="72"/>
    </row>
    <row r="1090" spans="1:9" ht="14.25">
      <c r="A1090" s="88"/>
      <c r="B1090" s="94"/>
      <c r="C1090" s="71"/>
      <c r="D1090" s="114"/>
      <c r="E1090" s="71"/>
      <c r="F1090" s="71"/>
      <c r="G1090" s="71"/>
      <c r="H1090" s="71"/>
      <c r="I1090" s="72"/>
    </row>
    <row r="1091" spans="1:9" ht="14.25">
      <c r="A1091" s="88"/>
      <c r="B1091" s="94"/>
      <c r="C1091" s="71"/>
      <c r="D1091" s="114"/>
      <c r="E1091" s="71"/>
      <c r="F1091" s="71"/>
      <c r="G1091" s="71"/>
      <c r="H1091" s="71"/>
      <c r="I1091" s="72"/>
    </row>
    <row r="1092" spans="1:9" ht="14.25">
      <c r="A1092" s="88"/>
      <c r="B1092" s="94"/>
      <c r="C1092" s="71"/>
      <c r="D1092" s="114"/>
      <c r="E1092" s="71"/>
      <c r="F1092" s="71"/>
      <c r="G1092" s="71"/>
      <c r="H1092" s="71"/>
      <c r="I1092" s="72"/>
    </row>
    <row r="1093" spans="1:9" ht="14.25">
      <c r="A1093" s="88"/>
      <c r="B1093" s="94"/>
      <c r="C1093" s="71"/>
      <c r="D1093" s="114"/>
      <c r="E1093" s="71"/>
      <c r="F1093" s="71"/>
      <c r="G1093" s="71"/>
      <c r="H1093" s="71"/>
      <c r="I1093" s="72"/>
    </row>
    <row r="1094" spans="1:9" ht="14.25">
      <c r="A1094" s="88"/>
      <c r="B1094" s="94"/>
      <c r="C1094" s="71"/>
      <c r="D1094" s="114"/>
      <c r="E1094" s="71"/>
      <c r="F1094" s="71"/>
      <c r="G1094" s="71"/>
      <c r="H1094" s="71"/>
      <c r="I1094" s="72"/>
    </row>
    <row r="1095" spans="1:9" ht="14.25">
      <c r="A1095" s="88"/>
      <c r="B1095" s="94"/>
      <c r="C1095" s="71"/>
      <c r="D1095" s="114"/>
      <c r="E1095" s="71"/>
      <c r="F1095" s="71"/>
      <c r="G1095" s="71"/>
      <c r="H1095" s="71"/>
      <c r="I1095" s="72"/>
    </row>
    <row r="1096" spans="1:9" ht="14.25">
      <c r="A1096" s="88"/>
      <c r="B1096" s="94"/>
      <c r="C1096" s="71"/>
      <c r="D1096" s="114"/>
      <c r="E1096" s="71"/>
      <c r="F1096" s="71"/>
      <c r="G1096" s="71"/>
      <c r="H1096" s="71"/>
      <c r="I1096" s="72"/>
    </row>
    <row r="1097" spans="1:9" ht="14.25">
      <c r="A1097" s="88"/>
      <c r="B1097" s="94"/>
      <c r="C1097" s="71"/>
      <c r="D1097" s="114"/>
      <c r="E1097" s="71"/>
      <c r="F1097" s="71"/>
      <c r="G1097" s="71"/>
      <c r="H1097" s="71"/>
      <c r="I1097" s="72"/>
    </row>
    <row r="1098" spans="1:9" ht="14.25">
      <c r="A1098" s="88"/>
      <c r="B1098" s="94"/>
      <c r="C1098" s="71"/>
      <c r="D1098" s="114"/>
      <c r="E1098" s="71"/>
      <c r="F1098" s="71"/>
      <c r="G1098" s="71"/>
      <c r="H1098" s="71"/>
      <c r="I1098" s="72"/>
    </row>
    <row r="1099" spans="1:9" ht="14.25">
      <c r="A1099" s="88"/>
      <c r="B1099" s="94"/>
      <c r="C1099" s="71"/>
      <c r="D1099" s="114"/>
      <c r="E1099" s="71"/>
      <c r="F1099" s="71"/>
      <c r="G1099" s="71"/>
      <c r="H1099" s="71"/>
      <c r="I1099" s="72"/>
    </row>
    <row r="1100" spans="1:9" ht="14.25">
      <c r="A1100" s="88"/>
      <c r="B1100" s="94"/>
      <c r="C1100" s="71"/>
      <c r="D1100" s="114"/>
      <c r="E1100" s="71"/>
      <c r="F1100" s="71"/>
      <c r="G1100" s="71"/>
      <c r="H1100" s="71"/>
      <c r="I1100" s="72"/>
    </row>
    <row r="1101" spans="1:9" ht="14.25">
      <c r="A1101" s="88"/>
      <c r="B1101" s="94"/>
      <c r="C1101" s="71"/>
      <c r="D1101" s="114"/>
      <c r="E1101" s="71"/>
      <c r="F1101" s="71"/>
      <c r="G1101" s="71"/>
      <c r="H1101" s="71"/>
      <c r="I1101" s="72"/>
    </row>
    <row r="1102" spans="1:9" ht="14.25">
      <c r="A1102" s="88"/>
      <c r="B1102" s="94"/>
      <c r="C1102" s="71"/>
      <c r="D1102" s="114"/>
      <c r="E1102" s="71"/>
      <c r="F1102" s="71"/>
      <c r="G1102" s="71"/>
      <c r="H1102" s="71"/>
      <c r="I1102" s="72"/>
    </row>
    <row r="1103" spans="1:9" ht="14.25">
      <c r="A1103" s="88"/>
      <c r="B1103" s="94"/>
      <c r="C1103" s="71"/>
      <c r="D1103" s="114"/>
      <c r="E1103" s="71"/>
      <c r="F1103" s="71"/>
      <c r="G1103" s="71"/>
      <c r="H1103" s="71"/>
      <c r="I1103" s="72"/>
    </row>
    <row r="1104" spans="1:9" ht="14.25">
      <c r="A1104" s="88"/>
      <c r="B1104" s="94"/>
      <c r="C1104" s="71"/>
      <c r="D1104" s="114"/>
      <c r="E1104" s="71"/>
      <c r="F1104" s="71"/>
      <c r="G1104" s="71"/>
      <c r="H1104" s="71"/>
      <c r="I1104" s="72"/>
    </row>
    <row r="1105" spans="1:9" ht="14.25">
      <c r="A1105" s="88"/>
      <c r="B1105" s="94"/>
      <c r="C1105" s="71"/>
      <c r="D1105" s="114"/>
      <c r="E1105" s="71"/>
      <c r="F1105" s="71"/>
      <c r="G1105" s="71"/>
      <c r="H1105" s="71"/>
      <c r="I1105" s="72"/>
    </row>
    <row r="1106" spans="1:9" ht="14.25">
      <c r="A1106" s="88"/>
      <c r="B1106" s="94"/>
      <c r="C1106" s="71"/>
      <c r="D1106" s="114"/>
      <c r="E1106" s="71"/>
      <c r="F1106" s="71"/>
      <c r="G1106" s="71"/>
      <c r="H1106" s="71"/>
      <c r="I1106" s="72"/>
    </row>
    <row r="1107" spans="1:9" ht="14.25">
      <c r="A1107" s="88"/>
      <c r="B1107" s="94"/>
      <c r="C1107" s="71"/>
      <c r="D1107" s="114"/>
      <c r="E1107" s="71"/>
      <c r="F1107" s="71"/>
      <c r="G1107" s="71"/>
      <c r="H1107" s="71"/>
      <c r="I1107" s="72"/>
    </row>
    <row r="1108" spans="1:9" ht="14.25">
      <c r="A1108" s="88"/>
      <c r="B1108" s="94"/>
      <c r="C1108" s="71"/>
      <c r="D1108" s="114"/>
      <c r="E1108" s="71"/>
      <c r="F1108" s="71"/>
      <c r="G1108" s="71"/>
      <c r="H1108" s="71"/>
      <c r="I1108" s="72"/>
    </row>
    <row r="1109" spans="1:9" ht="14.25">
      <c r="A1109" s="88"/>
      <c r="B1109" s="94"/>
      <c r="C1109" s="71"/>
      <c r="D1109" s="114"/>
      <c r="E1109" s="71"/>
      <c r="F1109" s="71"/>
      <c r="G1109" s="71"/>
      <c r="H1109" s="71"/>
      <c r="I1109" s="72"/>
    </row>
    <row r="1110" spans="1:9" ht="14.25">
      <c r="A1110" s="88"/>
      <c r="B1110" s="94"/>
      <c r="C1110" s="71"/>
      <c r="D1110" s="114"/>
      <c r="E1110" s="71"/>
      <c r="F1110" s="71"/>
      <c r="G1110" s="71"/>
      <c r="H1110" s="71"/>
      <c r="I1110" s="72"/>
    </row>
    <row r="1111" spans="1:9" ht="14.25">
      <c r="A1111" s="88"/>
      <c r="B1111" s="94"/>
      <c r="C1111" s="71"/>
      <c r="D1111" s="114"/>
      <c r="E1111" s="71"/>
      <c r="F1111" s="71"/>
      <c r="G1111" s="71"/>
      <c r="H1111" s="71"/>
      <c r="I1111" s="72"/>
    </row>
    <row r="1112" spans="1:9" ht="14.25">
      <c r="A1112" s="88"/>
      <c r="B1112" s="94"/>
      <c r="C1112" s="71"/>
      <c r="D1112" s="114"/>
      <c r="E1112" s="71"/>
      <c r="F1112" s="71"/>
      <c r="G1112" s="71"/>
      <c r="H1112" s="71"/>
      <c r="I1112" s="72"/>
    </row>
    <row r="1113" spans="1:9" ht="14.25">
      <c r="A1113" s="88"/>
      <c r="B1113" s="94"/>
      <c r="C1113" s="71"/>
      <c r="D1113" s="114"/>
      <c r="E1113" s="71"/>
      <c r="F1113" s="71"/>
      <c r="G1113" s="71"/>
      <c r="H1113" s="71"/>
      <c r="I1113" s="72"/>
    </row>
    <row r="1114" spans="1:9" ht="14.25">
      <c r="A1114" s="88"/>
      <c r="B1114" s="94"/>
      <c r="C1114" s="71"/>
      <c r="D1114" s="114"/>
      <c r="E1114" s="71"/>
      <c r="F1114" s="71"/>
      <c r="G1114" s="71"/>
      <c r="H1114" s="71"/>
      <c r="I1114" s="72"/>
    </row>
    <row r="1115" spans="1:9" ht="14.25">
      <c r="A1115" s="88"/>
      <c r="B1115" s="94"/>
      <c r="C1115" s="71"/>
      <c r="D1115" s="114"/>
      <c r="E1115" s="71"/>
      <c r="F1115" s="71"/>
      <c r="G1115" s="71"/>
      <c r="H1115" s="71"/>
      <c r="I1115" s="72"/>
    </row>
    <row r="1116" spans="1:9" ht="14.25">
      <c r="A1116" s="88"/>
      <c r="B1116" s="94"/>
      <c r="C1116" s="71"/>
      <c r="D1116" s="114"/>
      <c r="E1116" s="71"/>
      <c r="F1116" s="71"/>
      <c r="G1116" s="71"/>
      <c r="H1116" s="71"/>
      <c r="I1116" s="72"/>
    </row>
    <row r="1117" spans="1:9" ht="14.25">
      <c r="A1117" s="88"/>
      <c r="B1117" s="94"/>
      <c r="C1117" s="71"/>
      <c r="D1117" s="114"/>
      <c r="E1117" s="71"/>
      <c r="F1117" s="71"/>
      <c r="G1117" s="71"/>
      <c r="H1117" s="71"/>
      <c r="I1117" s="72"/>
    </row>
    <row r="1118" spans="1:9" ht="14.25">
      <c r="A1118" s="88"/>
      <c r="B1118" s="94"/>
      <c r="C1118" s="71"/>
      <c r="D1118" s="114"/>
      <c r="E1118" s="71"/>
      <c r="F1118" s="71"/>
      <c r="G1118" s="71"/>
      <c r="H1118" s="71"/>
      <c r="I1118" s="72"/>
    </row>
    <row r="1119" spans="1:9" ht="14.25">
      <c r="A1119" s="88"/>
      <c r="B1119" s="94"/>
      <c r="C1119" s="71"/>
      <c r="D1119" s="114"/>
      <c r="E1119" s="71"/>
      <c r="F1119" s="71"/>
      <c r="G1119" s="71"/>
      <c r="H1119" s="71"/>
      <c r="I1119" s="72"/>
    </row>
    <row r="1120" spans="1:9" ht="14.25">
      <c r="A1120" s="88"/>
      <c r="B1120" s="94"/>
      <c r="C1120" s="71"/>
      <c r="D1120" s="114"/>
      <c r="E1120" s="71"/>
      <c r="F1120" s="71"/>
      <c r="G1120" s="71"/>
      <c r="H1120" s="71"/>
      <c r="I1120" s="72"/>
    </row>
    <row r="1121" spans="1:9" ht="14.25">
      <c r="A1121" s="88"/>
      <c r="B1121" s="94"/>
      <c r="C1121" s="71"/>
      <c r="D1121" s="114"/>
      <c r="E1121" s="71"/>
      <c r="F1121" s="71"/>
      <c r="G1121" s="71"/>
      <c r="H1121" s="71"/>
      <c r="I1121" s="72"/>
    </row>
    <row r="1122" spans="1:9" ht="14.25">
      <c r="A1122" s="88"/>
      <c r="B1122" s="94"/>
      <c r="C1122" s="71"/>
      <c r="D1122" s="114"/>
      <c r="E1122" s="71"/>
      <c r="F1122" s="71"/>
      <c r="G1122" s="71"/>
      <c r="H1122" s="71"/>
      <c r="I1122" s="72"/>
    </row>
    <row r="1123" spans="1:9" ht="14.25">
      <c r="A1123" s="88"/>
      <c r="B1123" s="94"/>
      <c r="C1123" s="71"/>
      <c r="D1123" s="114"/>
      <c r="E1123" s="71"/>
      <c r="F1123" s="71"/>
      <c r="G1123" s="71"/>
      <c r="H1123" s="71"/>
      <c r="I1123" s="72"/>
    </row>
    <row r="1124" spans="1:9" ht="14.25">
      <c r="A1124" s="88"/>
      <c r="B1124" s="94"/>
      <c r="C1124" s="71"/>
      <c r="D1124" s="114"/>
      <c r="E1124" s="71"/>
      <c r="F1124" s="71"/>
      <c r="G1124" s="71"/>
      <c r="H1124" s="71"/>
      <c r="I1124" s="72"/>
    </row>
    <row r="1125" spans="1:9" ht="14.25">
      <c r="A1125" s="88"/>
      <c r="B1125" s="94"/>
      <c r="C1125" s="71"/>
      <c r="D1125" s="114"/>
      <c r="E1125" s="71"/>
      <c r="F1125" s="71"/>
      <c r="G1125" s="71"/>
      <c r="H1125" s="71"/>
      <c r="I1125" s="72"/>
    </row>
    <row r="1126" spans="1:9" ht="14.25">
      <c r="A1126" s="88"/>
      <c r="B1126" s="94"/>
      <c r="C1126" s="71"/>
      <c r="D1126" s="114"/>
      <c r="E1126" s="71"/>
      <c r="F1126" s="71"/>
      <c r="G1126" s="71"/>
      <c r="H1126" s="71"/>
      <c r="I1126" s="72"/>
    </row>
    <row r="1127" spans="1:9" ht="14.25">
      <c r="A1127" s="88"/>
      <c r="B1127" s="94"/>
      <c r="C1127" s="71"/>
      <c r="D1127" s="114"/>
      <c r="E1127" s="71"/>
      <c r="F1127" s="71"/>
      <c r="G1127" s="71"/>
      <c r="H1127" s="71"/>
      <c r="I1127" s="72"/>
    </row>
    <row r="1128" spans="1:9" ht="14.25">
      <c r="A1128" s="88"/>
      <c r="B1128" s="94"/>
      <c r="C1128" s="71"/>
      <c r="D1128" s="114"/>
      <c r="E1128" s="71"/>
      <c r="F1128" s="71"/>
      <c r="G1128" s="71"/>
      <c r="H1128" s="71"/>
      <c r="I1128" s="72"/>
    </row>
    <row r="1129" spans="1:9" ht="14.25">
      <c r="A1129" s="88"/>
      <c r="B1129" s="94"/>
      <c r="C1129" s="71"/>
      <c r="D1129" s="114"/>
      <c r="E1129" s="71"/>
      <c r="F1129" s="71"/>
      <c r="G1129" s="71"/>
      <c r="H1129" s="71"/>
      <c r="I1129" s="72"/>
    </row>
    <row r="1130" spans="1:9" ht="14.25">
      <c r="A1130" s="88"/>
      <c r="B1130" s="94"/>
      <c r="C1130" s="71"/>
      <c r="D1130" s="114"/>
      <c r="E1130" s="71"/>
      <c r="F1130" s="71"/>
      <c r="G1130" s="71"/>
      <c r="H1130" s="71"/>
      <c r="I1130" s="72"/>
    </row>
    <row r="1131" spans="1:9" ht="14.25">
      <c r="A1131" s="88"/>
      <c r="B1131" s="94"/>
      <c r="C1131" s="71"/>
      <c r="D1131" s="114"/>
      <c r="E1131" s="71"/>
      <c r="F1131" s="71"/>
      <c r="G1131" s="71"/>
      <c r="H1131" s="71"/>
      <c r="I1131" s="72"/>
    </row>
    <row r="1132" spans="1:9" ht="14.25">
      <c r="A1132" s="88"/>
      <c r="B1132" s="94"/>
      <c r="C1132" s="71"/>
      <c r="D1132" s="114"/>
      <c r="E1132" s="71"/>
      <c r="F1132" s="71"/>
      <c r="G1132" s="71"/>
      <c r="H1132" s="71"/>
      <c r="I1132" s="72"/>
    </row>
    <row r="1133" spans="1:9" ht="14.25">
      <c r="A1133" s="88"/>
      <c r="B1133" s="94"/>
      <c r="C1133" s="71"/>
      <c r="D1133" s="114"/>
      <c r="E1133" s="71"/>
      <c r="F1133" s="71"/>
      <c r="G1133" s="71"/>
      <c r="H1133" s="71"/>
      <c r="I1133" s="72"/>
    </row>
    <row r="1134" spans="1:9" ht="14.25">
      <c r="A1134" s="88"/>
      <c r="B1134" s="94"/>
      <c r="C1134" s="71"/>
      <c r="D1134" s="114"/>
      <c r="E1134" s="71"/>
      <c r="F1134" s="71"/>
      <c r="G1134" s="71"/>
      <c r="H1134" s="71"/>
      <c r="I1134" s="72"/>
    </row>
    <row r="1135" spans="1:9" ht="14.25">
      <c r="A1135" s="88"/>
      <c r="B1135" s="94"/>
      <c r="C1135" s="71"/>
      <c r="D1135" s="114"/>
      <c r="E1135" s="71"/>
      <c r="F1135" s="71"/>
      <c r="G1135" s="71"/>
      <c r="H1135" s="71"/>
      <c r="I1135" s="72"/>
    </row>
    <row r="1136" spans="1:9" ht="14.25">
      <c r="A1136" s="88"/>
      <c r="B1136" s="94"/>
      <c r="C1136" s="71"/>
      <c r="D1136" s="114"/>
      <c r="E1136" s="71"/>
      <c r="F1136" s="71"/>
      <c r="G1136" s="71"/>
      <c r="H1136" s="71"/>
      <c r="I1136" s="72"/>
    </row>
    <row r="1137" spans="1:9" ht="14.25">
      <c r="A1137" s="88"/>
      <c r="B1137" s="94"/>
      <c r="C1137" s="71"/>
      <c r="D1137" s="114"/>
      <c r="E1137" s="71"/>
      <c r="F1137" s="71"/>
      <c r="G1137" s="71"/>
      <c r="H1137" s="71"/>
      <c r="I1137" s="72"/>
    </row>
    <row r="1138" spans="1:9" ht="14.25">
      <c r="A1138" s="88"/>
      <c r="B1138" s="94"/>
      <c r="C1138" s="71"/>
      <c r="D1138" s="114"/>
      <c r="E1138" s="71"/>
      <c r="F1138" s="71"/>
      <c r="G1138" s="71"/>
      <c r="H1138" s="71"/>
      <c r="I1138" s="72"/>
    </row>
    <row r="1139" spans="1:9" ht="14.25">
      <c r="A1139" s="88"/>
      <c r="B1139" s="94"/>
      <c r="C1139" s="71"/>
      <c r="D1139" s="114"/>
      <c r="E1139" s="71"/>
      <c r="F1139" s="71"/>
      <c r="G1139" s="71"/>
      <c r="H1139" s="71"/>
      <c r="I1139" s="72"/>
    </row>
    <row r="1140" spans="1:9" ht="14.25">
      <c r="A1140" s="88"/>
      <c r="B1140" s="94"/>
      <c r="C1140" s="71"/>
      <c r="D1140" s="114"/>
      <c r="E1140" s="71"/>
      <c r="F1140" s="71"/>
      <c r="G1140" s="71"/>
      <c r="H1140" s="71"/>
      <c r="I1140" s="72"/>
    </row>
    <row r="1141" spans="1:9" ht="14.25">
      <c r="A1141" s="88"/>
      <c r="B1141" s="94"/>
      <c r="C1141" s="71"/>
      <c r="D1141" s="114"/>
      <c r="E1141" s="71"/>
      <c r="F1141" s="71"/>
      <c r="G1141" s="71"/>
      <c r="H1141" s="71"/>
      <c r="I1141" s="72"/>
    </row>
    <row r="1142" spans="1:9" ht="14.25">
      <c r="A1142" s="88"/>
      <c r="B1142" s="94"/>
      <c r="C1142" s="71"/>
      <c r="D1142" s="114"/>
      <c r="E1142" s="71"/>
      <c r="F1142" s="71"/>
      <c r="G1142" s="71"/>
      <c r="H1142" s="71"/>
      <c r="I1142" s="72"/>
    </row>
    <row r="1143" spans="1:9" ht="14.25">
      <c r="A1143" s="88"/>
      <c r="B1143" s="94"/>
      <c r="C1143" s="71"/>
      <c r="D1143" s="114"/>
      <c r="E1143" s="71"/>
      <c r="F1143" s="71"/>
      <c r="G1143" s="71"/>
      <c r="H1143" s="71"/>
      <c r="I1143" s="72"/>
    </row>
    <row r="1144" spans="1:9" ht="14.25">
      <c r="A1144" s="88"/>
      <c r="B1144" s="94"/>
      <c r="C1144" s="71"/>
      <c r="D1144" s="114"/>
      <c r="E1144" s="71"/>
      <c r="F1144" s="71"/>
      <c r="G1144" s="71"/>
      <c r="H1144" s="71"/>
      <c r="I1144" s="72"/>
    </row>
    <row r="1145" spans="1:9" ht="14.25">
      <c r="A1145" s="88"/>
      <c r="B1145" s="94"/>
      <c r="C1145" s="71"/>
      <c r="D1145" s="114"/>
      <c r="E1145" s="71"/>
      <c r="F1145" s="71"/>
      <c r="G1145" s="71"/>
      <c r="H1145" s="71"/>
      <c r="I1145" s="72"/>
    </row>
    <row r="1146" spans="1:9" ht="14.25">
      <c r="A1146" s="88"/>
      <c r="B1146" s="94"/>
      <c r="C1146" s="71"/>
      <c r="D1146" s="114"/>
      <c r="E1146" s="71"/>
      <c r="F1146" s="71"/>
      <c r="G1146" s="71"/>
      <c r="H1146" s="71"/>
      <c r="I1146" s="72"/>
    </row>
    <row r="1147" spans="1:9" ht="14.25">
      <c r="A1147" s="88"/>
      <c r="B1147" s="94"/>
      <c r="C1147" s="71"/>
      <c r="D1147" s="114"/>
      <c r="E1147" s="71"/>
      <c r="F1147" s="71"/>
      <c r="G1147" s="71"/>
      <c r="H1147" s="71"/>
      <c r="I1147" s="72"/>
    </row>
    <row r="1148" spans="1:9" ht="14.25">
      <c r="A1148" s="88"/>
      <c r="B1148" s="94"/>
      <c r="C1148" s="71"/>
      <c r="D1148" s="114"/>
      <c r="E1148" s="71"/>
      <c r="F1148" s="71"/>
      <c r="G1148" s="71"/>
      <c r="H1148" s="71"/>
      <c r="I1148" s="72"/>
    </row>
    <row r="1149" spans="1:9" ht="14.25">
      <c r="A1149" s="88"/>
      <c r="B1149" s="94"/>
      <c r="C1149" s="71"/>
      <c r="D1149" s="114"/>
      <c r="E1149" s="71"/>
      <c r="F1149" s="71"/>
      <c r="G1149" s="71"/>
      <c r="H1149" s="71"/>
      <c r="I1149" s="72"/>
    </row>
    <row r="1150" spans="1:9" ht="14.25">
      <c r="A1150" s="88"/>
      <c r="B1150" s="94"/>
      <c r="C1150" s="71"/>
      <c r="D1150" s="114"/>
      <c r="E1150" s="71"/>
      <c r="F1150" s="71"/>
      <c r="G1150" s="71"/>
      <c r="H1150" s="71"/>
      <c r="I1150" s="72"/>
    </row>
    <row r="1151" spans="1:9" ht="14.25">
      <c r="A1151" s="88"/>
      <c r="B1151" s="94"/>
      <c r="C1151" s="71"/>
      <c r="D1151" s="114"/>
      <c r="E1151" s="71"/>
      <c r="F1151" s="71"/>
      <c r="G1151" s="71"/>
      <c r="H1151" s="71"/>
      <c r="I1151" s="72"/>
    </row>
    <row r="1152" spans="1:9" ht="14.25">
      <c r="A1152" s="88"/>
      <c r="B1152" s="94"/>
      <c r="C1152" s="71"/>
      <c r="D1152" s="114"/>
      <c r="E1152" s="71"/>
      <c r="F1152" s="71"/>
      <c r="G1152" s="71"/>
      <c r="H1152" s="71"/>
      <c r="I1152" s="72"/>
    </row>
    <row r="1153" spans="1:9" ht="14.25">
      <c r="A1153" s="88"/>
      <c r="B1153" s="94"/>
      <c r="C1153" s="71"/>
      <c r="D1153" s="114"/>
      <c r="E1153" s="71"/>
      <c r="F1153" s="71"/>
      <c r="G1153" s="71"/>
      <c r="H1153" s="71"/>
      <c r="I1153" s="72"/>
    </row>
    <row r="1154" spans="1:9" ht="14.25">
      <c r="A1154" s="88"/>
      <c r="B1154" s="94"/>
      <c r="C1154" s="71"/>
      <c r="D1154" s="114"/>
      <c r="E1154" s="71"/>
      <c r="F1154" s="71"/>
      <c r="G1154" s="71"/>
      <c r="H1154" s="71"/>
      <c r="I1154" s="72"/>
    </row>
    <row r="1155" spans="1:9" ht="14.25">
      <c r="A1155" s="88"/>
      <c r="B1155" s="94"/>
      <c r="C1155" s="71"/>
      <c r="D1155" s="114"/>
      <c r="E1155" s="71"/>
      <c r="F1155" s="71"/>
      <c r="G1155" s="71"/>
      <c r="H1155" s="71"/>
      <c r="I1155" s="72"/>
    </row>
    <row r="1156" spans="1:9" ht="14.25">
      <c r="A1156" s="88"/>
      <c r="B1156" s="94"/>
      <c r="C1156" s="71"/>
      <c r="D1156" s="114"/>
      <c r="E1156" s="71"/>
      <c r="F1156" s="71"/>
      <c r="G1156" s="71"/>
      <c r="H1156" s="71"/>
      <c r="I1156" s="72"/>
    </row>
    <row r="1157" spans="1:9" ht="14.25">
      <c r="A1157" s="88"/>
      <c r="B1157" s="94"/>
      <c r="C1157" s="71"/>
      <c r="D1157" s="114"/>
      <c r="E1157" s="71"/>
      <c r="F1157" s="71"/>
      <c r="G1157" s="71"/>
      <c r="H1157" s="71"/>
      <c r="I1157" s="72"/>
    </row>
    <row r="1158" spans="1:9" ht="14.25">
      <c r="A1158" s="88"/>
      <c r="B1158" s="94"/>
      <c r="C1158" s="71"/>
      <c r="D1158" s="114"/>
      <c r="E1158" s="71"/>
      <c r="F1158" s="71"/>
      <c r="G1158" s="71"/>
      <c r="H1158" s="71"/>
      <c r="I1158" s="72"/>
    </row>
    <row r="1159" spans="1:9" ht="14.25">
      <c r="A1159" s="88"/>
      <c r="B1159" s="94"/>
      <c r="C1159" s="71"/>
      <c r="D1159" s="114"/>
      <c r="E1159" s="71"/>
      <c r="F1159" s="71"/>
      <c r="G1159" s="71"/>
      <c r="H1159" s="71"/>
      <c r="I1159" s="72"/>
    </row>
    <row r="1160" spans="1:9" ht="14.25">
      <c r="A1160" s="88"/>
      <c r="B1160" s="94"/>
      <c r="C1160" s="71"/>
      <c r="D1160" s="114"/>
      <c r="E1160" s="71"/>
      <c r="F1160" s="71"/>
      <c r="G1160" s="71"/>
      <c r="H1160" s="71"/>
      <c r="I1160" s="72"/>
    </row>
    <row r="1161" spans="1:9" ht="14.25">
      <c r="A1161" s="88"/>
      <c r="B1161" s="94"/>
      <c r="C1161" s="71"/>
      <c r="D1161" s="114"/>
      <c r="E1161" s="71"/>
      <c r="F1161" s="71"/>
      <c r="G1161" s="71"/>
      <c r="H1161" s="71"/>
      <c r="I1161" s="72"/>
    </row>
    <row r="1162" spans="1:9" ht="14.25">
      <c r="A1162" s="88"/>
      <c r="B1162" s="94"/>
      <c r="C1162" s="71"/>
      <c r="D1162" s="114"/>
      <c r="E1162" s="71"/>
      <c r="F1162" s="71"/>
      <c r="G1162" s="71"/>
      <c r="H1162" s="71"/>
      <c r="I1162" s="72"/>
    </row>
    <row r="1163" spans="1:9" ht="14.25">
      <c r="A1163" s="88"/>
      <c r="B1163" s="94"/>
      <c r="C1163" s="71"/>
      <c r="D1163" s="114"/>
      <c r="E1163" s="71"/>
      <c r="F1163" s="71"/>
      <c r="G1163" s="71"/>
      <c r="H1163" s="71"/>
      <c r="I1163" s="72"/>
    </row>
    <row r="1164" spans="1:9" ht="14.25">
      <c r="A1164" s="88"/>
      <c r="B1164" s="94"/>
      <c r="C1164" s="71"/>
      <c r="D1164" s="114"/>
      <c r="E1164" s="71"/>
      <c r="F1164" s="71"/>
      <c r="G1164" s="71"/>
      <c r="H1164" s="71"/>
      <c r="I1164" s="72"/>
    </row>
    <row r="1165" spans="1:9" ht="14.25">
      <c r="A1165" s="88"/>
      <c r="B1165" s="94"/>
      <c r="C1165" s="71"/>
      <c r="D1165" s="114"/>
      <c r="E1165" s="71"/>
      <c r="F1165" s="71"/>
      <c r="G1165" s="71"/>
      <c r="H1165" s="71"/>
      <c r="I1165" s="72"/>
    </row>
    <row r="1166" spans="1:9" ht="14.25">
      <c r="A1166" s="88"/>
      <c r="B1166" s="94"/>
      <c r="C1166" s="71"/>
      <c r="D1166" s="114"/>
      <c r="E1166" s="71"/>
      <c r="F1166" s="71"/>
      <c r="G1166" s="71"/>
      <c r="H1166" s="71"/>
      <c r="I1166" s="72"/>
    </row>
    <row r="1167" spans="1:9" ht="14.25">
      <c r="A1167" s="88"/>
      <c r="B1167" s="94"/>
      <c r="C1167" s="71"/>
      <c r="D1167" s="114"/>
      <c r="E1167" s="71"/>
      <c r="F1167" s="71"/>
      <c r="G1167" s="71"/>
      <c r="H1167" s="71"/>
      <c r="I1167" s="72"/>
    </row>
    <row r="1168" spans="1:9" ht="14.25">
      <c r="A1168" s="88"/>
      <c r="B1168" s="94"/>
      <c r="C1168" s="71"/>
      <c r="D1168" s="114"/>
      <c r="E1168" s="71"/>
      <c r="F1168" s="71"/>
      <c r="G1168" s="71"/>
      <c r="H1168" s="71"/>
      <c r="I1168" s="72"/>
    </row>
    <row r="1169" spans="1:9" ht="14.25">
      <c r="A1169" s="88"/>
      <c r="B1169" s="94"/>
      <c r="C1169" s="71"/>
      <c r="D1169" s="114"/>
      <c r="E1169" s="71"/>
      <c r="F1169" s="71"/>
      <c r="G1169" s="71"/>
      <c r="H1169" s="71"/>
      <c r="I1169" s="72"/>
    </row>
    <row r="1170" spans="1:9" ht="14.25">
      <c r="A1170" s="88"/>
      <c r="B1170" s="94"/>
      <c r="C1170" s="71"/>
      <c r="D1170" s="114"/>
      <c r="E1170" s="71"/>
      <c r="F1170" s="71"/>
      <c r="G1170" s="71"/>
      <c r="H1170" s="71"/>
      <c r="I1170" s="72"/>
    </row>
    <row r="1171" spans="1:9" ht="14.25">
      <c r="A1171" s="88"/>
      <c r="B1171" s="94"/>
      <c r="C1171" s="71"/>
      <c r="D1171" s="114"/>
      <c r="E1171" s="71"/>
      <c r="F1171" s="71"/>
      <c r="G1171" s="71"/>
      <c r="H1171" s="71"/>
      <c r="I1171" s="72"/>
    </row>
    <row r="1172" spans="1:9" ht="14.25">
      <c r="A1172" s="88"/>
      <c r="B1172" s="94"/>
      <c r="C1172" s="71"/>
      <c r="D1172" s="114"/>
      <c r="E1172" s="71"/>
      <c r="F1172" s="71"/>
      <c r="G1172" s="71"/>
      <c r="H1172" s="71"/>
      <c r="I1172" s="72"/>
    </row>
    <row r="1173" spans="1:9" ht="14.25">
      <c r="A1173" s="88"/>
      <c r="B1173" s="94"/>
      <c r="C1173" s="71"/>
      <c r="D1173" s="114"/>
      <c r="E1173" s="71"/>
      <c r="F1173" s="71"/>
      <c r="G1173" s="71"/>
      <c r="H1173" s="71"/>
      <c r="I1173" s="72"/>
    </row>
    <row r="1174" spans="1:9" ht="14.25">
      <c r="A1174" s="88"/>
      <c r="B1174" s="94"/>
      <c r="C1174" s="71"/>
      <c r="D1174" s="114"/>
      <c r="E1174" s="71"/>
      <c r="F1174" s="71"/>
      <c r="G1174" s="71"/>
      <c r="H1174" s="71"/>
      <c r="I1174" s="72"/>
    </row>
    <row r="1175" spans="1:9" ht="14.25">
      <c r="A1175" s="88"/>
      <c r="B1175" s="94"/>
      <c r="C1175" s="71"/>
      <c r="D1175" s="114"/>
      <c r="E1175" s="71"/>
      <c r="F1175" s="71"/>
      <c r="G1175" s="71"/>
      <c r="H1175" s="71"/>
      <c r="I1175" s="72"/>
    </row>
    <row r="1176" spans="1:9" ht="14.25">
      <c r="A1176" s="88"/>
      <c r="B1176" s="94"/>
      <c r="C1176" s="71"/>
      <c r="D1176" s="114"/>
      <c r="E1176" s="71"/>
      <c r="F1176" s="71"/>
      <c r="G1176" s="71"/>
      <c r="H1176" s="71"/>
      <c r="I1176" s="72"/>
    </row>
    <row r="1177" spans="1:9" ht="14.25">
      <c r="A1177" s="84"/>
      <c r="B1177" s="95"/>
      <c r="C1177" s="73"/>
      <c r="D1177" s="39"/>
      <c r="E1177" s="73"/>
      <c r="F1177" s="73"/>
      <c r="G1177" s="73"/>
      <c r="H1177" s="73"/>
      <c r="I1177" s="74"/>
    </row>
    <row r="1178" spans="1:9" ht="14.25">
      <c r="A1178" s="84"/>
      <c r="B1178" s="95"/>
      <c r="C1178" s="73"/>
      <c r="D1178" s="39"/>
      <c r="E1178" s="73"/>
      <c r="F1178" s="73"/>
      <c r="G1178" s="73"/>
      <c r="H1178" s="73"/>
      <c r="I1178" s="74"/>
    </row>
    <row r="1179" spans="1:9" ht="14.25">
      <c r="A1179" s="84"/>
      <c r="B1179" s="95"/>
      <c r="C1179" s="73"/>
      <c r="D1179" s="39"/>
      <c r="E1179" s="73"/>
      <c r="F1179" s="73"/>
      <c r="G1179" s="73"/>
      <c r="H1179" s="73"/>
      <c r="I1179" s="74"/>
    </row>
    <row r="1180" spans="1:9" ht="14.25">
      <c r="A1180" s="84"/>
      <c r="B1180" s="95"/>
      <c r="C1180" s="73"/>
      <c r="D1180" s="39"/>
      <c r="E1180" s="73"/>
      <c r="F1180" s="73"/>
      <c r="G1180" s="73"/>
      <c r="H1180" s="73"/>
      <c r="I1180" s="74"/>
    </row>
    <row r="1181" spans="1:9" ht="14.25">
      <c r="A1181" s="84"/>
      <c r="B1181" s="95"/>
      <c r="C1181" s="73"/>
      <c r="D1181" s="39"/>
      <c r="E1181" s="73"/>
      <c r="F1181" s="73"/>
      <c r="G1181" s="73"/>
      <c r="H1181" s="73"/>
      <c r="I1181" s="74"/>
    </row>
    <row r="1182" spans="1:9" ht="14.25">
      <c r="A1182" s="84"/>
      <c r="B1182" s="95"/>
      <c r="C1182" s="73"/>
      <c r="D1182" s="39"/>
      <c r="E1182" s="73"/>
      <c r="F1182" s="73"/>
      <c r="G1182" s="73"/>
      <c r="H1182" s="73"/>
      <c r="I1182" s="74"/>
    </row>
    <row r="1183" spans="1:9" ht="14.25">
      <c r="A1183" s="84"/>
      <c r="B1183" s="95"/>
      <c r="C1183" s="73"/>
      <c r="D1183" s="39"/>
      <c r="E1183" s="73"/>
      <c r="F1183" s="73"/>
      <c r="G1183" s="73"/>
      <c r="H1183" s="73"/>
      <c r="I1183" s="74"/>
    </row>
    <row r="1184" spans="1:9" ht="14.25">
      <c r="A1184" s="84"/>
      <c r="B1184" s="95"/>
      <c r="C1184" s="73"/>
      <c r="D1184" s="39"/>
      <c r="E1184" s="73"/>
      <c r="F1184" s="73"/>
      <c r="G1184" s="73"/>
      <c r="H1184" s="73"/>
      <c r="I1184" s="74"/>
    </row>
    <row r="1185" spans="1:9" ht="14.25">
      <c r="A1185" s="84"/>
      <c r="B1185" s="95"/>
      <c r="C1185" s="73"/>
      <c r="D1185" s="39"/>
      <c r="E1185" s="73"/>
      <c r="F1185" s="73"/>
      <c r="G1185" s="73"/>
      <c r="H1185" s="73"/>
      <c r="I1185" s="74"/>
    </row>
    <row r="1186" spans="1:9" ht="14.25">
      <c r="A1186" s="84"/>
      <c r="B1186" s="95"/>
      <c r="C1186" s="73"/>
      <c r="D1186" s="39"/>
      <c r="E1186" s="73"/>
      <c r="F1186" s="73"/>
      <c r="G1186" s="73"/>
      <c r="H1186" s="73"/>
      <c r="I1186" s="74"/>
    </row>
    <row r="1187" spans="1:9" ht="14.25">
      <c r="A1187" s="84"/>
      <c r="B1187" s="95"/>
      <c r="C1187" s="73"/>
      <c r="D1187" s="39"/>
      <c r="E1187" s="73"/>
      <c r="F1187" s="73"/>
      <c r="G1187" s="73"/>
      <c r="H1187" s="73"/>
      <c r="I1187" s="74"/>
    </row>
    <row r="1188" spans="1:9" ht="14.25">
      <c r="A1188" s="84"/>
      <c r="B1188" s="95"/>
      <c r="C1188" s="73"/>
      <c r="D1188" s="39"/>
      <c r="E1188" s="73"/>
      <c r="F1188" s="73"/>
      <c r="G1188" s="73"/>
      <c r="H1188" s="73"/>
      <c r="I1188" s="74"/>
    </row>
    <row r="1189" spans="1:9" ht="14.25">
      <c r="A1189" s="84"/>
      <c r="B1189" s="95"/>
      <c r="C1189" s="73"/>
      <c r="D1189" s="39"/>
      <c r="E1189" s="73"/>
      <c r="F1189" s="73"/>
      <c r="G1189" s="73"/>
      <c r="H1189" s="73"/>
      <c r="I1189" s="74"/>
    </row>
    <row r="1190" spans="1:9" ht="14.25">
      <c r="A1190" s="84"/>
      <c r="B1190" s="95"/>
      <c r="C1190" s="73"/>
      <c r="D1190" s="39"/>
      <c r="E1190" s="73"/>
      <c r="F1190" s="73"/>
      <c r="G1190" s="73"/>
      <c r="H1190" s="73"/>
      <c r="I1190" s="74"/>
    </row>
    <row r="1191" spans="1:9" ht="14.25">
      <c r="A1191" s="84"/>
      <c r="B1191" s="95"/>
      <c r="C1191" s="73"/>
      <c r="D1191" s="39"/>
      <c r="E1191" s="73"/>
      <c r="F1191" s="73"/>
      <c r="G1191" s="73"/>
      <c r="H1191" s="73"/>
      <c r="I1191" s="74"/>
    </row>
    <row r="1192" spans="1:9" ht="14.25">
      <c r="A1192" s="84"/>
      <c r="B1192" s="95"/>
      <c r="C1192" s="73"/>
      <c r="D1192" s="39"/>
      <c r="E1192" s="73"/>
      <c r="F1192" s="73"/>
      <c r="G1192" s="73"/>
      <c r="H1192" s="73"/>
      <c r="I1192" s="74"/>
    </row>
    <row r="1193" spans="1:9" ht="14.25">
      <c r="A1193" s="84"/>
      <c r="B1193" s="95"/>
      <c r="C1193" s="73"/>
      <c r="D1193" s="39"/>
      <c r="E1193" s="73"/>
      <c r="F1193" s="73"/>
      <c r="G1193" s="73"/>
      <c r="H1193" s="73"/>
      <c r="I1193" s="74"/>
    </row>
    <row r="1194" spans="1:9" ht="14.25">
      <c r="A1194" s="84"/>
      <c r="B1194" s="95"/>
      <c r="C1194" s="73"/>
      <c r="D1194" s="39"/>
      <c r="E1194" s="73"/>
      <c r="F1194" s="73"/>
      <c r="G1194" s="73"/>
      <c r="H1194" s="73"/>
      <c r="I1194" s="74"/>
    </row>
    <row r="1195" spans="1:9" ht="14.25">
      <c r="A1195" s="84"/>
      <c r="B1195" s="95"/>
      <c r="C1195" s="73"/>
      <c r="D1195" s="39"/>
      <c r="E1195" s="73"/>
      <c r="F1195" s="73"/>
      <c r="G1195" s="73"/>
      <c r="H1195" s="73"/>
      <c r="I1195" s="74"/>
    </row>
    <row r="1196" spans="1:9" ht="14.25">
      <c r="A1196" s="84"/>
      <c r="B1196" s="95"/>
      <c r="C1196" s="73"/>
      <c r="D1196" s="39"/>
      <c r="E1196" s="73"/>
      <c r="F1196" s="73"/>
      <c r="G1196" s="73"/>
      <c r="H1196" s="73"/>
      <c r="I1196" s="74"/>
    </row>
    <row r="1197" spans="1:9" ht="14.25">
      <c r="A1197" s="84"/>
      <c r="B1197" s="95"/>
      <c r="C1197" s="73"/>
      <c r="D1197" s="39"/>
      <c r="E1197" s="73"/>
      <c r="F1197" s="73"/>
      <c r="G1197" s="73"/>
      <c r="H1197" s="73"/>
      <c r="I1197" s="74"/>
    </row>
    <row r="1198" spans="1:9" ht="14.25">
      <c r="A1198" s="84"/>
      <c r="B1198" s="95"/>
      <c r="C1198" s="73"/>
      <c r="D1198" s="39"/>
      <c r="E1198" s="73"/>
      <c r="F1198" s="73"/>
      <c r="G1198" s="73"/>
      <c r="H1198" s="73"/>
      <c r="I1198" s="74"/>
    </row>
    <row r="1199" spans="1:9" ht="14.25">
      <c r="A1199" s="84"/>
      <c r="B1199" s="95"/>
      <c r="C1199" s="73"/>
      <c r="D1199" s="39"/>
      <c r="E1199" s="73"/>
      <c r="F1199" s="73"/>
      <c r="G1199" s="73"/>
      <c r="H1199" s="73"/>
      <c r="I1199" s="74"/>
    </row>
    <row r="1200" spans="1:9" ht="14.25">
      <c r="A1200" s="84"/>
      <c r="B1200" s="95"/>
      <c r="C1200" s="73"/>
      <c r="D1200" s="39"/>
      <c r="E1200" s="73"/>
      <c r="F1200" s="73"/>
      <c r="G1200" s="73"/>
      <c r="H1200" s="73"/>
      <c r="I1200" s="74"/>
    </row>
    <row r="1201" spans="1:9" ht="14.25">
      <c r="A1201" s="84"/>
      <c r="B1201" s="95"/>
      <c r="C1201" s="73"/>
      <c r="D1201" s="39"/>
      <c r="E1201" s="73"/>
      <c r="F1201" s="73"/>
      <c r="G1201" s="73"/>
      <c r="H1201" s="73"/>
      <c r="I1201" s="74"/>
    </row>
    <row r="1202" spans="1:9" ht="14.25">
      <c r="A1202" s="84"/>
      <c r="B1202" s="95"/>
      <c r="C1202" s="73"/>
      <c r="D1202" s="39"/>
      <c r="E1202" s="73"/>
      <c r="F1202" s="73"/>
      <c r="G1202" s="73"/>
      <c r="H1202" s="73"/>
      <c r="I1202" s="74"/>
    </row>
    <row r="1203" spans="1:9" ht="14.25">
      <c r="A1203" s="84"/>
      <c r="B1203" s="95"/>
      <c r="C1203" s="73"/>
      <c r="D1203" s="39"/>
      <c r="E1203" s="73"/>
      <c r="F1203" s="73"/>
      <c r="G1203" s="73"/>
      <c r="H1203" s="73"/>
      <c r="I1203" s="74"/>
    </row>
    <row r="1204" spans="1:9" ht="14.25">
      <c r="A1204" s="84"/>
      <c r="B1204" s="95"/>
      <c r="C1204" s="73"/>
      <c r="D1204" s="39"/>
      <c r="E1204" s="73"/>
      <c r="F1204" s="73"/>
      <c r="G1204" s="73"/>
      <c r="H1204" s="73"/>
      <c r="I1204" s="74"/>
    </row>
    <row r="1205" spans="1:9" ht="14.25">
      <c r="A1205" s="84"/>
      <c r="B1205" s="95"/>
      <c r="C1205" s="73"/>
      <c r="D1205" s="39"/>
      <c r="E1205" s="73"/>
      <c r="F1205" s="73"/>
      <c r="G1205" s="73"/>
      <c r="H1205" s="73"/>
      <c r="I1205" s="74"/>
    </row>
    <row r="1206" spans="1:9" ht="14.25">
      <c r="A1206" s="84"/>
      <c r="B1206" s="95"/>
      <c r="C1206" s="73"/>
      <c r="D1206" s="39"/>
      <c r="E1206" s="73"/>
      <c r="F1206" s="73"/>
      <c r="G1206" s="73"/>
      <c r="H1206" s="73"/>
      <c r="I1206" s="74"/>
    </row>
    <row r="1207" spans="1:9" ht="14.25">
      <c r="A1207" s="84"/>
      <c r="B1207" s="95"/>
      <c r="C1207" s="73"/>
      <c r="D1207" s="39"/>
      <c r="E1207" s="73"/>
      <c r="F1207" s="73"/>
      <c r="G1207" s="73"/>
      <c r="H1207" s="73"/>
      <c r="I1207" s="74"/>
    </row>
    <row r="1208" spans="1:9" ht="14.25">
      <c r="A1208" s="84"/>
      <c r="B1208" s="95"/>
      <c r="C1208" s="73"/>
      <c r="D1208" s="39"/>
      <c r="E1208" s="73"/>
      <c r="F1208" s="73"/>
      <c r="G1208" s="73"/>
      <c r="H1208" s="73"/>
      <c r="I1208" s="74"/>
    </row>
    <row r="1209" spans="1:9" ht="14.25">
      <c r="A1209" s="84"/>
      <c r="B1209" s="95"/>
      <c r="C1209" s="73"/>
      <c r="D1209" s="39"/>
      <c r="E1209" s="73"/>
      <c r="F1209" s="73"/>
      <c r="G1209" s="73"/>
      <c r="H1209" s="73"/>
      <c r="I1209" s="74"/>
    </row>
    <row r="1210" spans="1:9" ht="14.25">
      <c r="A1210" s="84"/>
      <c r="B1210" s="95"/>
      <c r="C1210" s="73"/>
      <c r="D1210" s="39"/>
      <c r="E1210" s="73"/>
      <c r="F1210" s="73"/>
      <c r="G1210" s="73"/>
      <c r="H1210" s="73"/>
      <c r="I1210" s="74"/>
    </row>
    <row r="1211" spans="1:9" ht="14.25">
      <c r="A1211" s="84"/>
      <c r="B1211" s="95"/>
      <c r="C1211" s="73"/>
      <c r="D1211" s="39"/>
      <c r="E1211" s="73"/>
      <c r="F1211" s="73"/>
      <c r="G1211" s="73"/>
      <c r="H1211" s="73"/>
      <c r="I1211" s="74"/>
    </row>
    <row r="1212" spans="1:9" ht="14.25">
      <c r="A1212" s="84"/>
      <c r="B1212" s="95"/>
      <c r="C1212" s="73"/>
      <c r="D1212" s="39"/>
      <c r="E1212" s="73"/>
      <c r="F1212" s="73"/>
      <c r="G1212" s="73"/>
      <c r="H1212" s="73"/>
      <c r="I1212" s="74"/>
    </row>
    <row r="1213" spans="1:9" ht="14.25">
      <c r="A1213" s="84"/>
      <c r="B1213" s="95"/>
      <c r="C1213" s="73"/>
      <c r="D1213" s="39"/>
      <c r="E1213" s="73"/>
      <c r="F1213" s="73"/>
      <c r="G1213" s="73"/>
      <c r="H1213" s="73"/>
      <c r="I1213" s="74"/>
    </row>
    <row r="1214" spans="1:9" ht="14.25">
      <c r="A1214" s="84"/>
      <c r="B1214" s="95"/>
      <c r="C1214" s="73"/>
      <c r="D1214" s="39"/>
      <c r="E1214" s="73"/>
      <c r="F1214" s="73"/>
      <c r="G1214" s="73"/>
      <c r="H1214" s="73"/>
      <c r="I1214" s="74"/>
    </row>
    <row r="1215" spans="1:9" ht="14.25">
      <c r="A1215" s="84"/>
      <c r="B1215" s="95"/>
      <c r="C1215" s="73"/>
      <c r="D1215" s="39"/>
      <c r="E1215" s="73"/>
      <c r="F1215" s="73"/>
      <c r="G1215" s="73"/>
      <c r="H1215" s="73"/>
      <c r="I1215" s="74"/>
    </row>
    <row r="1216" spans="1:9" ht="14.25">
      <c r="A1216" s="84"/>
      <c r="B1216" s="95"/>
      <c r="C1216" s="73"/>
      <c r="D1216" s="39"/>
      <c r="E1216" s="73"/>
      <c r="F1216" s="73"/>
      <c r="G1216" s="73"/>
      <c r="H1216" s="73"/>
      <c r="I1216" s="74"/>
    </row>
    <row r="1217" spans="1:9" ht="14.25">
      <c r="A1217" s="84"/>
      <c r="B1217" s="95"/>
      <c r="C1217" s="73"/>
      <c r="D1217" s="39"/>
      <c r="E1217" s="73"/>
      <c r="F1217" s="73"/>
      <c r="G1217" s="73"/>
      <c r="H1217" s="73"/>
      <c r="I1217" s="74"/>
    </row>
    <row r="1218" spans="1:9" ht="14.25">
      <c r="A1218" s="84"/>
      <c r="B1218" s="95"/>
      <c r="C1218" s="73"/>
      <c r="D1218" s="39"/>
      <c r="E1218" s="73"/>
      <c r="F1218" s="73"/>
      <c r="G1218" s="73"/>
      <c r="H1218" s="73"/>
      <c r="I1218" s="74"/>
    </row>
    <row r="1219" spans="1:9" ht="14.25">
      <c r="A1219" s="84"/>
      <c r="B1219" s="95"/>
      <c r="C1219" s="73"/>
      <c r="D1219" s="39"/>
      <c r="E1219" s="73"/>
      <c r="F1219" s="73"/>
      <c r="G1219" s="73"/>
      <c r="H1219" s="73"/>
      <c r="I1219" s="74"/>
    </row>
    <row r="1220" spans="1:9" ht="14.25">
      <c r="A1220" s="84"/>
      <c r="B1220" s="95"/>
      <c r="C1220" s="73"/>
      <c r="D1220" s="39"/>
      <c r="E1220" s="73"/>
      <c r="F1220" s="73"/>
      <c r="G1220" s="73"/>
      <c r="H1220" s="73"/>
      <c r="I1220" s="74"/>
    </row>
    <row r="1221" spans="1:9" ht="14.25">
      <c r="A1221" s="84"/>
      <c r="B1221" s="95"/>
      <c r="C1221" s="73"/>
      <c r="D1221" s="39"/>
      <c r="E1221" s="73"/>
      <c r="F1221" s="73"/>
      <c r="G1221" s="73"/>
      <c r="H1221" s="73"/>
      <c r="I1221" s="74"/>
    </row>
    <row r="1222" spans="1:9" ht="14.25">
      <c r="A1222" s="84"/>
      <c r="B1222" s="95"/>
      <c r="C1222" s="73"/>
      <c r="D1222" s="39"/>
      <c r="E1222" s="73"/>
      <c r="F1222" s="73"/>
      <c r="G1222" s="73"/>
      <c r="H1222" s="73"/>
      <c r="I1222" s="74"/>
    </row>
    <row r="1223" spans="1:9" ht="14.25">
      <c r="A1223" s="84"/>
      <c r="B1223" s="95"/>
      <c r="C1223" s="73"/>
      <c r="D1223" s="39"/>
      <c r="E1223" s="73"/>
      <c r="F1223" s="73"/>
      <c r="G1223" s="73"/>
      <c r="H1223" s="73"/>
      <c r="I1223" s="74"/>
    </row>
    <row r="1224" spans="1:9" ht="14.25">
      <c r="A1224" s="84"/>
      <c r="B1224" s="95"/>
      <c r="C1224" s="73"/>
      <c r="D1224" s="39"/>
      <c r="E1224" s="73"/>
      <c r="F1224" s="73"/>
      <c r="G1224" s="73"/>
      <c r="H1224" s="73"/>
      <c r="I1224" s="74"/>
    </row>
    <row r="1225" spans="1:9" ht="14.25">
      <c r="A1225" s="84"/>
      <c r="B1225" s="95"/>
      <c r="C1225" s="73"/>
      <c r="D1225" s="39"/>
      <c r="E1225" s="73"/>
      <c r="F1225" s="73"/>
      <c r="G1225" s="73"/>
      <c r="H1225" s="73"/>
      <c r="I1225" s="74"/>
    </row>
    <row r="1226" spans="1:9" ht="14.25">
      <c r="A1226" s="84"/>
      <c r="B1226" s="95"/>
      <c r="C1226" s="73"/>
      <c r="D1226" s="39"/>
      <c r="E1226" s="73"/>
      <c r="F1226" s="73"/>
      <c r="G1226" s="73"/>
      <c r="H1226" s="73"/>
      <c r="I1226" s="74"/>
    </row>
    <row r="1227" spans="1:9" ht="14.25">
      <c r="A1227" s="84"/>
      <c r="B1227" s="95"/>
      <c r="C1227" s="73"/>
      <c r="D1227" s="39"/>
      <c r="E1227" s="73"/>
      <c r="F1227" s="73"/>
      <c r="G1227" s="73"/>
      <c r="H1227" s="73"/>
      <c r="I1227" s="74"/>
    </row>
    <row r="1228" spans="1:9" ht="14.25">
      <c r="A1228" s="84"/>
      <c r="B1228" s="95"/>
      <c r="C1228" s="73"/>
      <c r="D1228" s="39"/>
      <c r="E1228" s="73"/>
      <c r="F1228" s="73"/>
      <c r="G1228" s="73"/>
      <c r="H1228" s="73"/>
      <c r="I1228" s="74"/>
    </row>
    <row r="1229" spans="1:9" ht="14.25">
      <c r="A1229" s="84"/>
      <c r="B1229" s="95"/>
      <c r="C1229" s="73"/>
      <c r="D1229" s="39"/>
      <c r="E1229" s="73"/>
      <c r="F1229" s="73"/>
      <c r="G1229" s="73"/>
      <c r="H1229" s="73"/>
      <c r="I1229" s="74"/>
    </row>
    <row r="1230" spans="1:9" ht="14.25">
      <c r="A1230" s="84"/>
      <c r="B1230" s="95"/>
      <c r="C1230" s="73"/>
      <c r="D1230" s="39"/>
      <c r="E1230" s="73"/>
      <c r="F1230" s="73"/>
      <c r="G1230" s="73"/>
      <c r="H1230" s="73"/>
      <c r="I1230" s="74"/>
    </row>
    <row r="1231" spans="1:9" ht="14.25">
      <c r="A1231" s="84"/>
      <c r="B1231" s="95"/>
      <c r="C1231" s="73"/>
      <c r="D1231" s="39"/>
      <c r="E1231" s="73"/>
      <c r="F1231" s="73"/>
      <c r="G1231" s="73"/>
      <c r="H1231" s="73"/>
      <c r="I1231" s="74"/>
    </row>
    <row r="1232" spans="1:9" ht="14.25">
      <c r="A1232" s="84"/>
      <c r="B1232" s="95"/>
      <c r="C1232" s="73"/>
      <c r="D1232" s="39"/>
      <c r="E1232" s="73"/>
      <c r="F1232" s="73"/>
      <c r="G1232" s="73"/>
      <c r="H1232" s="73"/>
      <c r="I1232" s="74"/>
    </row>
    <row r="1233" spans="1:9" ht="14.25">
      <c r="A1233" s="84"/>
      <c r="B1233" s="95"/>
      <c r="C1233" s="73"/>
      <c r="D1233" s="39"/>
      <c r="E1233" s="73"/>
      <c r="F1233" s="73"/>
      <c r="G1233" s="73"/>
      <c r="H1233" s="73"/>
      <c r="I1233" s="74"/>
    </row>
    <row r="1234" spans="1:9" ht="14.25">
      <c r="A1234" s="84"/>
      <c r="B1234" s="95"/>
      <c r="C1234" s="73"/>
      <c r="D1234" s="39"/>
      <c r="E1234" s="73"/>
      <c r="F1234" s="73"/>
      <c r="G1234" s="73"/>
      <c r="H1234" s="73"/>
      <c r="I1234" s="74"/>
    </row>
    <row r="1235" spans="1:9" ht="14.25">
      <c r="A1235" s="84"/>
      <c r="B1235" s="95"/>
      <c r="C1235" s="73"/>
      <c r="D1235" s="39"/>
      <c r="E1235" s="73"/>
      <c r="F1235" s="73"/>
      <c r="G1235" s="73"/>
      <c r="H1235" s="73"/>
      <c r="I1235" s="74"/>
    </row>
    <row r="1236" spans="1:9" ht="14.25">
      <c r="A1236" s="84"/>
      <c r="B1236" s="95"/>
      <c r="C1236" s="73"/>
      <c r="D1236" s="39"/>
      <c r="E1236" s="73"/>
      <c r="F1236" s="73"/>
      <c r="G1236" s="73"/>
      <c r="H1236" s="73"/>
      <c r="I1236" s="74"/>
    </row>
    <row r="1237" spans="1:9" ht="14.25">
      <c r="A1237" s="84"/>
      <c r="B1237" s="95"/>
      <c r="C1237" s="73"/>
      <c r="D1237" s="39"/>
      <c r="E1237" s="73"/>
      <c r="F1237" s="73"/>
      <c r="G1237" s="73"/>
      <c r="H1237" s="73"/>
      <c r="I1237" s="74"/>
    </row>
    <row r="1238" spans="1:9" ht="14.25">
      <c r="A1238" s="84"/>
      <c r="B1238" s="95"/>
      <c r="C1238" s="73"/>
      <c r="D1238" s="39"/>
      <c r="E1238" s="73"/>
      <c r="F1238" s="73"/>
      <c r="G1238" s="73"/>
      <c r="H1238" s="73"/>
      <c r="I1238" s="74"/>
    </row>
    <row r="1239" spans="1:9" ht="14.25">
      <c r="A1239" s="84"/>
      <c r="B1239" s="95"/>
      <c r="C1239" s="73"/>
      <c r="D1239" s="39"/>
      <c r="E1239" s="73"/>
      <c r="F1239" s="73"/>
      <c r="G1239" s="73"/>
      <c r="H1239" s="73"/>
      <c r="I1239" s="74"/>
    </row>
    <row r="1240" spans="1:9" ht="14.25">
      <c r="A1240" s="84"/>
      <c r="B1240" s="95"/>
      <c r="C1240" s="73"/>
      <c r="D1240" s="39"/>
      <c r="E1240" s="73"/>
      <c r="F1240" s="73"/>
      <c r="G1240" s="73"/>
      <c r="H1240" s="73"/>
      <c r="I1240" s="74"/>
    </row>
    <row r="1241" spans="1:9" ht="14.25">
      <c r="A1241" s="84"/>
      <c r="B1241" s="95"/>
      <c r="C1241" s="73"/>
      <c r="D1241" s="39"/>
      <c r="E1241" s="73"/>
      <c r="F1241" s="73"/>
      <c r="G1241" s="73"/>
      <c r="H1241" s="73"/>
      <c r="I1241" s="74"/>
    </row>
    <row r="1242" spans="1:9" ht="14.25">
      <c r="A1242" s="84"/>
      <c r="B1242" s="95"/>
      <c r="C1242" s="73"/>
      <c r="D1242" s="39"/>
      <c r="E1242" s="73"/>
      <c r="F1242" s="73"/>
      <c r="G1242" s="73"/>
      <c r="H1242" s="73"/>
      <c r="I1242" s="74"/>
    </row>
    <row r="1243" spans="1:9" ht="14.25">
      <c r="A1243" s="84"/>
      <c r="B1243" s="95"/>
      <c r="C1243" s="73"/>
      <c r="D1243" s="39"/>
      <c r="E1243" s="73"/>
      <c r="F1243" s="73"/>
      <c r="G1243" s="73"/>
      <c r="H1243" s="73"/>
      <c r="I1243" s="74"/>
    </row>
    <row r="1244" spans="1:9" ht="14.25">
      <c r="A1244" s="84"/>
      <c r="B1244" s="95"/>
      <c r="C1244" s="73"/>
      <c r="D1244" s="39"/>
      <c r="E1244" s="73"/>
      <c r="F1244" s="73"/>
      <c r="G1244" s="73"/>
      <c r="H1244" s="73"/>
      <c r="I1244" s="74"/>
    </row>
    <row r="1245" spans="1:9" ht="14.25">
      <c r="A1245" s="84"/>
      <c r="B1245" s="95"/>
      <c r="C1245" s="73"/>
      <c r="D1245" s="39"/>
      <c r="E1245" s="73"/>
      <c r="F1245" s="73"/>
      <c r="G1245" s="73"/>
      <c r="H1245" s="73"/>
      <c r="I1245" s="74"/>
    </row>
    <row r="1246" spans="1:9" ht="14.25">
      <c r="A1246" s="84"/>
      <c r="B1246" s="95"/>
      <c r="C1246" s="73"/>
      <c r="D1246" s="39"/>
      <c r="E1246" s="73"/>
      <c r="F1246" s="73"/>
      <c r="G1246" s="73"/>
      <c r="H1246" s="73"/>
      <c r="I1246" s="74"/>
    </row>
    <row r="1247" spans="1:9" ht="14.25">
      <c r="A1247" s="84"/>
      <c r="B1247" s="95"/>
      <c r="C1247" s="73"/>
      <c r="D1247" s="39"/>
      <c r="E1247" s="73"/>
      <c r="F1247" s="73"/>
      <c r="G1247" s="73"/>
      <c r="H1247" s="73"/>
      <c r="I1247" s="74"/>
    </row>
    <row r="1248" spans="1:9" ht="14.25">
      <c r="A1248" s="84"/>
      <c r="B1248" s="95"/>
      <c r="C1248" s="73"/>
      <c r="D1248" s="39"/>
      <c r="E1248" s="73"/>
      <c r="F1248" s="73"/>
      <c r="G1248" s="73"/>
      <c r="H1248" s="73"/>
      <c r="I1248" s="74"/>
    </row>
    <row r="1249" spans="1:9" ht="14.25">
      <c r="A1249" s="84"/>
      <c r="B1249" s="95"/>
      <c r="C1249" s="73"/>
      <c r="D1249" s="39"/>
      <c r="E1249" s="73"/>
      <c r="F1249" s="73"/>
      <c r="G1249" s="73"/>
      <c r="H1249" s="73"/>
      <c r="I1249" s="74"/>
    </row>
    <row r="1250" spans="1:9" ht="14.25">
      <c r="A1250" s="84"/>
      <c r="B1250" s="95"/>
      <c r="C1250" s="73"/>
      <c r="D1250" s="39"/>
      <c r="E1250" s="73"/>
      <c r="F1250" s="73"/>
      <c r="G1250" s="73"/>
      <c r="H1250" s="73"/>
      <c r="I1250" s="74"/>
    </row>
    <row r="1251" spans="1:9" ht="14.25">
      <c r="A1251" s="84"/>
      <c r="B1251" s="95"/>
      <c r="C1251" s="73"/>
      <c r="D1251" s="39"/>
      <c r="E1251" s="73"/>
      <c r="F1251" s="73"/>
      <c r="G1251" s="73"/>
      <c r="H1251" s="73"/>
      <c r="I1251" s="74"/>
    </row>
    <row r="1252" spans="1:9" ht="14.25">
      <c r="A1252" s="84"/>
      <c r="B1252" s="95"/>
      <c r="C1252" s="73"/>
      <c r="D1252" s="39"/>
      <c r="E1252" s="73"/>
      <c r="F1252" s="73"/>
      <c r="G1252" s="73"/>
      <c r="H1252" s="73"/>
      <c r="I1252" s="74"/>
    </row>
    <row r="1253" spans="1:9" ht="14.25">
      <c r="A1253" s="84"/>
      <c r="B1253" s="95"/>
      <c r="C1253" s="73"/>
      <c r="D1253" s="39"/>
      <c r="E1253" s="73"/>
      <c r="F1253" s="73"/>
      <c r="G1253" s="73"/>
      <c r="H1253" s="73"/>
      <c r="I1253" s="74"/>
    </row>
    <row r="1254" spans="1:9" ht="14.25">
      <c r="A1254" s="84"/>
      <c r="B1254" s="95"/>
      <c r="C1254" s="73"/>
      <c r="D1254" s="39"/>
      <c r="E1254" s="73"/>
      <c r="F1254" s="73"/>
      <c r="G1254" s="73"/>
      <c r="H1254" s="73"/>
      <c r="I1254" s="74"/>
    </row>
    <row r="1255" spans="1:9" ht="14.25">
      <c r="A1255" s="84"/>
      <c r="B1255" s="95"/>
      <c r="C1255" s="73"/>
      <c r="D1255" s="39"/>
      <c r="E1255" s="73"/>
      <c r="F1255" s="73"/>
      <c r="G1255" s="73"/>
      <c r="H1255" s="73"/>
      <c r="I1255" s="74"/>
    </row>
    <row r="1256" spans="1:9" ht="14.25">
      <c r="A1256" s="84"/>
      <c r="B1256" s="95"/>
      <c r="C1256" s="73"/>
      <c r="D1256" s="39"/>
      <c r="E1256" s="73"/>
      <c r="F1256" s="73"/>
      <c r="G1256" s="73"/>
      <c r="H1256" s="73"/>
      <c r="I1256" s="74"/>
    </row>
    <row r="1257" spans="1:9" ht="14.25">
      <c r="A1257" s="84"/>
      <c r="B1257" s="95"/>
      <c r="C1257" s="73"/>
      <c r="D1257" s="39"/>
      <c r="E1257" s="73"/>
      <c r="F1257" s="73"/>
      <c r="G1257" s="73"/>
      <c r="H1257" s="73"/>
      <c r="I1257" s="74"/>
    </row>
    <row r="1258" spans="1:9" ht="14.25">
      <c r="A1258" s="84"/>
      <c r="B1258" s="95"/>
      <c r="C1258" s="73"/>
      <c r="D1258" s="39"/>
      <c r="E1258" s="73"/>
      <c r="F1258" s="73"/>
      <c r="G1258" s="73"/>
      <c r="H1258" s="73"/>
      <c r="I1258" s="74"/>
    </row>
    <row r="1259" spans="1:9" ht="14.25">
      <c r="A1259" s="84"/>
      <c r="B1259" s="95"/>
      <c r="C1259" s="73"/>
      <c r="D1259" s="39"/>
      <c r="E1259" s="73"/>
      <c r="F1259" s="73"/>
      <c r="G1259" s="73"/>
      <c r="H1259" s="73"/>
      <c r="I1259" s="74"/>
    </row>
    <row r="1260" spans="1:9" ht="14.25">
      <c r="A1260" s="84"/>
      <c r="B1260" s="95"/>
      <c r="C1260" s="73"/>
      <c r="D1260" s="39"/>
      <c r="E1260" s="73"/>
      <c r="F1260" s="73"/>
      <c r="G1260" s="73"/>
      <c r="H1260" s="73"/>
      <c r="I1260" s="74"/>
    </row>
    <row r="1261" spans="1:9" ht="14.25">
      <c r="A1261" s="84"/>
      <c r="B1261" s="95"/>
      <c r="C1261" s="73"/>
      <c r="D1261" s="39"/>
      <c r="E1261" s="73"/>
      <c r="F1261" s="73"/>
      <c r="G1261" s="73"/>
      <c r="H1261" s="73"/>
      <c r="I1261" s="74"/>
    </row>
    <row r="1262" spans="1:9" ht="14.25">
      <c r="A1262" s="84"/>
      <c r="B1262" s="95"/>
      <c r="C1262" s="73"/>
      <c r="D1262" s="39"/>
      <c r="E1262" s="73"/>
      <c r="F1262" s="73"/>
      <c r="G1262" s="73"/>
      <c r="H1262" s="73"/>
      <c r="I1262" s="74"/>
    </row>
    <row r="1263" spans="1:9" ht="14.25">
      <c r="A1263" s="84"/>
      <c r="B1263" s="95"/>
      <c r="C1263" s="73"/>
      <c r="D1263" s="39"/>
      <c r="E1263" s="73"/>
      <c r="F1263" s="73"/>
      <c r="G1263" s="73"/>
      <c r="H1263" s="73"/>
      <c r="I1263" s="74"/>
    </row>
    <row r="1264" spans="1:9" ht="14.25">
      <c r="A1264" s="84"/>
      <c r="B1264" s="95"/>
      <c r="C1264" s="73"/>
      <c r="D1264" s="39"/>
      <c r="E1264" s="73"/>
      <c r="F1264" s="73"/>
      <c r="G1264" s="73"/>
      <c r="H1264" s="73"/>
      <c r="I1264" s="74"/>
    </row>
    <row r="1265" spans="1:9" ht="14.25">
      <c r="A1265" s="84"/>
      <c r="B1265" s="95"/>
      <c r="C1265" s="73"/>
      <c r="D1265" s="39"/>
      <c r="E1265" s="73"/>
      <c r="F1265" s="73"/>
      <c r="G1265" s="73"/>
      <c r="H1265" s="73"/>
      <c r="I1265" s="74"/>
    </row>
    <row r="1266" spans="1:9" ht="14.25">
      <c r="A1266" s="84"/>
      <c r="B1266" s="95"/>
      <c r="C1266" s="73"/>
      <c r="D1266" s="39"/>
      <c r="E1266" s="73"/>
      <c r="F1266" s="73"/>
      <c r="G1266" s="73"/>
      <c r="H1266" s="73"/>
      <c r="I1266" s="74"/>
    </row>
    <row r="1267" spans="1:9" ht="14.25">
      <c r="A1267" s="84"/>
      <c r="B1267" s="95"/>
      <c r="C1267" s="73"/>
      <c r="D1267" s="39"/>
      <c r="E1267" s="73"/>
      <c r="F1267" s="73"/>
      <c r="G1267" s="73"/>
      <c r="H1267" s="73"/>
      <c r="I1267" s="74"/>
    </row>
    <row r="1268" spans="1:9" ht="14.25">
      <c r="A1268" s="84"/>
      <c r="B1268" s="95"/>
      <c r="C1268" s="73"/>
      <c r="D1268" s="39"/>
      <c r="E1268" s="73"/>
      <c r="F1268" s="73"/>
      <c r="G1268" s="73"/>
      <c r="H1268" s="73"/>
      <c r="I1268" s="74"/>
    </row>
    <row r="1269" spans="1:9" ht="14.25">
      <c r="A1269" s="84"/>
      <c r="B1269" s="95"/>
      <c r="C1269" s="73"/>
      <c r="D1269" s="39"/>
      <c r="E1269" s="73"/>
      <c r="F1269" s="73"/>
      <c r="G1269" s="73"/>
      <c r="H1269" s="73"/>
      <c r="I1269" s="74"/>
    </row>
    <row r="1270" spans="1:9" ht="14.25">
      <c r="A1270" s="84"/>
      <c r="B1270" s="95"/>
      <c r="C1270" s="73"/>
      <c r="D1270" s="39"/>
      <c r="E1270" s="73"/>
      <c r="F1270" s="73"/>
      <c r="G1270" s="73"/>
      <c r="H1270" s="73"/>
      <c r="I1270" s="74"/>
    </row>
    <row r="1271" spans="1:9" ht="14.25">
      <c r="A1271" s="84"/>
      <c r="B1271" s="95"/>
      <c r="C1271" s="73"/>
      <c r="D1271" s="39"/>
      <c r="E1271" s="73"/>
      <c r="F1271" s="73"/>
      <c r="G1271" s="73"/>
      <c r="H1271" s="73"/>
      <c r="I1271" s="74"/>
    </row>
  </sheetData>
  <sheetProtection/>
  <mergeCells count="21">
    <mergeCell ref="C5:E5"/>
    <mergeCell ref="C10:C11"/>
    <mergeCell ref="C6:E6"/>
    <mergeCell ref="E10:E11"/>
    <mergeCell ref="C12:I12"/>
    <mergeCell ref="C1:E1"/>
    <mergeCell ref="C2:E2"/>
    <mergeCell ref="C3:E3"/>
    <mergeCell ref="F3:I3"/>
    <mergeCell ref="C4:E4"/>
    <mergeCell ref="F4:I4"/>
    <mergeCell ref="D10:D11"/>
    <mergeCell ref="F5:I5"/>
    <mergeCell ref="F10:I10"/>
    <mergeCell ref="F6:I6"/>
    <mergeCell ref="C7:E7"/>
    <mergeCell ref="F7:I7"/>
    <mergeCell ref="F8:I8"/>
    <mergeCell ref="A9:I9"/>
    <mergeCell ref="A10:A11"/>
    <mergeCell ref="B10:B11"/>
  </mergeCells>
  <printOptions horizontalCentered="1"/>
  <pageMargins left="0.5905511811023623" right="0.3937007874015748" top="0.3937007874015748" bottom="0.5905511811023623" header="0" footer="0"/>
  <pageSetup horizontalDpi="600" verticalDpi="600" orientation="portrait" paperSize="9" scale="40" r:id="rId2"/>
  <headerFooter alignWithMargins="0">
    <oddFooter>&amp;C&amp;A&amp;RPágina &amp;P</oddFooter>
  </headerFooter>
  <rowBreaks count="1" manualBreakCount="1">
    <brk id="937" max="8" man="1"/>
  </rowBreaks>
  <drawing r:id="rId1"/>
</worksheet>
</file>

<file path=xl/worksheets/sheet2.xml><?xml version="1.0" encoding="utf-8"?>
<worksheet xmlns="http://schemas.openxmlformats.org/spreadsheetml/2006/main" xmlns:r="http://schemas.openxmlformats.org/officeDocument/2006/relationships">
  <dimension ref="A1:P150"/>
  <sheetViews>
    <sheetView view="pageBreakPreview" zoomScale="80" zoomScaleNormal="75" zoomScaleSheetLayoutView="80" zoomScalePageLayoutView="0" workbookViewId="0" topLeftCell="A3">
      <selection activeCell="A12" sqref="A12:IV150"/>
    </sheetView>
  </sheetViews>
  <sheetFormatPr defaultColWidth="9.140625" defaultRowHeight="12.75"/>
  <cols>
    <col min="1" max="1" width="8.140625" style="97" customWidth="1"/>
    <col min="2" max="2" width="24.57421875" style="96" customWidth="1"/>
    <col min="3" max="3" width="114.7109375" style="75" customWidth="1"/>
    <col min="4" max="4" width="10.57421875" style="115" customWidth="1"/>
    <col min="5" max="5" width="14.8515625" style="75" customWidth="1"/>
    <col min="6" max="6" width="24.57421875" style="75" bestFit="1" customWidth="1"/>
    <col min="7" max="7" width="17.7109375" style="75" bestFit="1" customWidth="1"/>
    <col min="8" max="8" width="17.421875" style="75" bestFit="1" customWidth="1"/>
    <col min="9" max="9" width="17.57421875" style="76" bestFit="1" customWidth="1"/>
    <col min="10" max="10" width="9.28125" style="21" bestFit="1" customWidth="1"/>
    <col min="11" max="11" width="10.28125" style="21" bestFit="1" customWidth="1"/>
    <col min="12" max="12" width="45.7109375" style="21" customWidth="1"/>
    <col min="13" max="16384" width="9.140625" style="21" customWidth="1"/>
  </cols>
  <sheetData>
    <row r="1" spans="1:10" s="398" customFormat="1" ht="26.25">
      <c r="A1" s="391"/>
      <c r="B1" s="392"/>
      <c r="C1" s="426" t="s">
        <v>913</v>
      </c>
      <c r="D1" s="426"/>
      <c r="E1" s="427"/>
      <c r="F1" s="393"/>
      <c r="G1" s="394"/>
      <c r="H1" s="395"/>
      <c r="I1" s="396"/>
      <c r="J1" s="397"/>
    </row>
    <row r="2" spans="1:10" s="398" customFormat="1" ht="26.25">
      <c r="A2" s="399"/>
      <c r="B2" s="400"/>
      <c r="C2" s="428" t="s">
        <v>914</v>
      </c>
      <c r="D2" s="428"/>
      <c r="E2" s="429"/>
      <c r="F2" s="401"/>
      <c r="G2" s="402"/>
      <c r="H2" s="403"/>
      <c r="I2" s="404"/>
      <c r="J2" s="397"/>
    </row>
    <row r="3" spans="1:10" s="398" customFormat="1" ht="26.25">
      <c r="A3" s="399"/>
      <c r="B3" s="400"/>
      <c r="C3" s="428" t="s">
        <v>915</v>
      </c>
      <c r="D3" s="428"/>
      <c r="E3" s="429"/>
      <c r="F3" s="430" t="s">
        <v>933</v>
      </c>
      <c r="G3" s="431"/>
      <c r="H3" s="431"/>
      <c r="I3" s="432"/>
      <c r="J3" s="397"/>
    </row>
    <row r="4" spans="1:10" s="398" customFormat="1" ht="18.75" customHeight="1">
      <c r="A4" s="399"/>
      <c r="B4" s="400"/>
      <c r="C4" s="433" t="s">
        <v>930</v>
      </c>
      <c r="D4" s="433"/>
      <c r="E4" s="434"/>
      <c r="F4" s="435" t="s">
        <v>934</v>
      </c>
      <c r="G4" s="436"/>
      <c r="H4" s="436"/>
      <c r="I4" s="437"/>
      <c r="J4" s="397"/>
    </row>
    <row r="5" spans="1:10" s="398" customFormat="1" ht="45" customHeight="1">
      <c r="A5" s="399"/>
      <c r="B5" s="400"/>
      <c r="C5" s="433" t="s">
        <v>932</v>
      </c>
      <c r="D5" s="433"/>
      <c r="E5" s="434"/>
      <c r="F5" s="438" t="s">
        <v>916</v>
      </c>
      <c r="G5" s="439"/>
      <c r="H5" s="439"/>
      <c r="I5" s="440"/>
      <c r="J5" s="397"/>
    </row>
    <row r="6" spans="1:10" s="398" customFormat="1" ht="23.25">
      <c r="A6" s="399"/>
      <c r="B6" s="400"/>
      <c r="C6" s="441" t="s">
        <v>917</v>
      </c>
      <c r="D6" s="441"/>
      <c r="E6" s="442"/>
      <c r="F6" s="443" t="s">
        <v>918</v>
      </c>
      <c r="G6" s="444"/>
      <c r="H6" s="444"/>
      <c r="I6" s="445"/>
      <c r="J6" s="397"/>
    </row>
    <row r="7" spans="1:10" s="398" customFormat="1" ht="23.25">
      <c r="A7" s="399"/>
      <c r="B7" s="400"/>
      <c r="C7" s="446" t="s">
        <v>919</v>
      </c>
      <c r="D7" s="446"/>
      <c r="E7" s="447"/>
      <c r="F7" s="443" t="s">
        <v>920</v>
      </c>
      <c r="G7" s="444"/>
      <c r="H7" s="444"/>
      <c r="I7" s="445"/>
      <c r="J7" s="397"/>
    </row>
    <row r="8" spans="1:10" s="398" customFormat="1" ht="20.25">
      <c r="A8" s="405"/>
      <c r="B8" s="406"/>
      <c r="C8" s="407"/>
      <c r="D8" s="408"/>
      <c r="E8" s="409"/>
      <c r="F8" s="449" t="s">
        <v>921</v>
      </c>
      <c r="G8" s="450"/>
      <c r="H8" s="450"/>
      <c r="I8" s="451"/>
      <c r="J8" s="397"/>
    </row>
    <row r="9" spans="1:9" s="397" customFormat="1" ht="18" customHeight="1">
      <c r="A9" s="452" t="s">
        <v>993</v>
      </c>
      <c r="B9" s="453"/>
      <c r="C9" s="453"/>
      <c r="D9" s="453"/>
      <c r="E9" s="453"/>
      <c r="F9" s="453"/>
      <c r="G9" s="453"/>
      <c r="H9" s="453"/>
      <c r="I9" s="453"/>
    </row>
    <row r="10" spans="1:9" s="496" customFormat="1" ht="18.75">
      <c r="A10" s="454" t="s">
        <v>140</v>
      </c>
      <c r="B10" s="455" t="s">
        <v>923</v>
      </c>
      <c r="C10" s="456" t="s">
        <v>147</v>
      </c>
      <c r="D10" s="454" t="s">
        <v>148</v>
      </c>
      <c r="E10" s="457" t="s">
        <v>149</v>
      </c>
      <c r="F10" s="495" t="s">
        <v>106</v>
      </c>
      <c r="G10" s="495"/>
      <c r="H10" s="495"/>
      <c r="I10" s="495"/>
    </row>
    <row r="11" spans="1:9" s="496" customFormat="1" ht="18.75">
      <c r="A11" s="454"/>
      <c r="B11" s="455"/>
      <c r="C11" s="456"/>
      <c r="D11" s="454"/>
      <c r="E11" s="457"/>
      <c r="F11" s="497" t="s">
        <v>492</v>
      </c>
      <c r="G11" s="497" t="s">
        <v>493</v>
      </c>
      <c r="H11" s="497" t="s">
        <v>494</v>
      </c>
      <c r="I11" s="498" t="s">
        <v>495</v>
      </c>
    </row>
    <row r="12" spans="1:9" s="503" customFormat="1" ht="14.25" customHeight="1">
      <c r="A12" s="500" t="s">
        <v>151</v>
      </c>
      <c r="B12" s="501"/>
      <c r="C12" s="502" t="s">
        <v>152</v>
      </c>
      <c r="D12" s="502"/>
      <c r="E12" s="502"/>
      <c r="F12" s="502"/>
      <c r="G12" s="502"/>
      <c r="H12" s="502"/>
      <c r="I12" s="502"/>
    </row>
    <row r="13" spans="1:11" s="511" customFormat="1" ht="45">
      <c r="A13" s="504" t="s">
        <v>24</v>
      </c>
      <c r="B13" s="505" t="s">
        <v>385</v>
      </c>
      <c r="C13" s="506" t="s">
        <v>339</v>
      </c>
      <c r="D13" s="507" t="s">
        <v>142</v>
      </c>
      <c r="E13" s="508">
        <v>6</v>
      </c>
      <c r="F13" s="509">
        <f>TRUNC(MEMÓRIA!F13,2)</f>
        <v>169.7</v>
      </c>
      <c r="G13" s="509">
        <f>TRUNC(F13*1.2882,2)</f>
        <v>218.6</v>
      </c>
      <c r="H13" s="509">
        <f>TRUNC(F13*E13,2)</f>
        <v>1018.2</v>
      </c>
      <c r="I13" s="510">
        <f>TRUNC(E13*G13,2)</f>
        <v>1311.6</v>
      </c>
      <c r="K13" s="512"/>
    </row>
    <row r="14" spans="1:11" s="511" customFormat="1" ht="75">
      <c r="A14" s="504" t="s">
        <v>25</v>
      </c>
      <c r="B14" s="505" t="s">
        <v>390</v>
      </c>
      <c r="C14" s="506" t="s">
        <v>532</v>
      </c>
      <c r="D14" s="507" t="s">
        <v>142</v>
      </c>
      <c r="E14" s="508">
        <v>67.94</v>
      </c>
      <c r="F14" s="509">
        <f>TRUNC(MEMÓRIA!F20,2)</f>
        <v>36.53</v>
      </c>
      <c r="G14" s="509">
        <f>TRUNC(F14*1.2882,2)</f>
        <v>47.05</v>
      </c>
      <c r="H14" s="509">
        <f>TRUNC(F14*E14,2)</f>
        <v>2481.84</v>
      </c>
      <c r="I14" s="510">
        <f>TRUNC(E14*G14,2)</f>
        <v>3196.57</v>
      </c>
      <c r="K14" s="512"/>
    </row>
    <row r="15" spans="1:11" s="511" customFormat="1" ht="30">
      <c r="A15" s="504" t="s">
        <v>73</v>
      </c>
      <c r="B15" s="505" t="s">
        <v>490</v>
      </c>
      <c r="C15" s="506" t="s">
        <v>489</v>
      </c>
      <c r="D15" s="507" t="s">
        <v>142</v>
      </c>
      <c r="E15" s="508">
        <v>62.85</v>
      </c>
      <c r="F15" s="509">
        <f>TRUNC(MEMÓRIA!F27,2)</f>
        <v>12.91</v>
      </c>
      <c r="G15" s="509">
        <f>TRUNC(F15*1.2882,2)</f>
        <v>16.63</v>
      </c>
      <c r="H15" s="509">
        <f>TRUNC(F15*E15,2)</f>
        <v>811.39</v>
      </c>
      <c r="I15" s="510">
        <f>TRUNC(E15*G15,2)</f>
        <v>1045.19</v>
      </c>
      <c r="K15" s="512"/>
    </row>
    <row r="16" spans="1:11" s="511" customFormat="1" ht="30">
      <c r="A16" s="504" t="s">
        <v>19</v>
      </c>
      <c r="B16" s="505" t="s">
        <v>714</v>
      </c>
      <c r="C16" s="506" t="s">
        <v>715</v>
      </c>
      <c r="D16" s="507" t="s">
        <v>43</v>
      </c>
      <c r="E16" s="508">
        <v>32.32</v>
      </c>
      <c r="F16" s="509">
        <f>TRUNC(MEMÓRIA!F30,2)</f>
        <v>68.98</v>
      </c>
      <c r="G16" s="509">
        <f>TRUNC(F16*1.2882,2)</f>
        <v>88.86</v>
      </c>
      <c r="H16" s="509">
        <f>TRUNC(F16*E16,2)</f>
        <v>2229.43</v>
      </c>
      <c r="I16" s="510">
        <f>TRUNC(E16*G16,2)</f>
        <v>2871.95</v>
      </c>
      <c r="J16" s="511">
        <f>E16*1.3</f>
        <v>42.016000000000005</v>
      </c>
      <c r="K16" s="512"/>
    </row>
    <row r="17" spans="1:11" s="511" customFormat="1" ht="45">
      <c r="A17" s="504" t="s">
        <v>717</v>
      </c>
      <c r="B17" s="505" t="s">
        <v>719</v>
      </c>
      <c r="C17" s="506" t="s">
        <v>720</v>
      </c>
      <c r="D17" s="507" t="s">
        <v>43</v>
      </c>
      <c r="E17" s="508">
        <f>3*0.5*0.7</f>
        <v>1.0499999999999998</v>
      </c>
      <c r="F17" s="509">
        <f>TRUNC(MEMÓRIA!F35,2)</f>
        <v>255</v>
      </c>
      <c r="G17" s="509">
        <f>TRUNC(F17*1.2882,2)</f>
        <v>328.49</v>
      </c>
      <c r="H17" s="509">
        <f>TRUNC(F17*E17,2)</f>
        <v>267.75</v>
      </c>
      <c r="I17" s="510">
        <f>TRUNC(E17*G17,2)</f>
        <v>344.91</v>
      </c>
      <c r="J17" s="511">
        <f>E17*2.4</f>
        <v>2.5199999999999996</v>
      </c>
      <c r="K17" s="512"/>
    </row>
    <row r="18" spans="1:11" s="511" customFormat="1" ht="30">
      <c r="A18" s="504" t="s">
        <v>718</v>
      </c>
      <c r="B18" s="505" t="s">
        <v>721</v>
      </c>
      <c r="C18" s="506" t="s">
        <v>722</v>
      </c>
      <c r="D18" s="507" t="s">
        <v>148</v>
      </c>
      <c r="E18" s="508">
        <v>20</v>
      </c>
      <c r="F18" s="509">
        <f>TRUNC(MEMÓRIA!F40,2)</f>
        <v>19.04</v>
      </c>
      <c r="G18" s="509">
        <f>TRUNC(F18*1.2882,2)</f>
        <v>24.52</v>
      </c>
      <c r="H18" s="509">
        <f>TRUNC(F18*E18,2)</f>
        <v>380.8</v>
      </c>
      <c r="I18" s="510">
        <f>TRUNC(E18*G18,2)</f>
        <v>490.4</v>
      </c>
      <c r="K18" s="512"/>
    </row>
    <row r="19" spans="1:11" s="511" customFormat="1" ht="15">
      <c r="A19" s="504" t="s">
        <v>783</v>
      </c>
      <c r="B19" s="505" t="s">
        <v>784</v>
      </c>
      <c r="C19" s="506" t="s">
        <v>789</v>
      </c>
      <c r="D19" s="507" t="s">
        <v>148</v>
      </c>
      <c r="E19" s="508">
        <v>6</v>
      </c>
      <c r="F19" s="509">
        <f>TRUNC(MEMÓRIA!F45,2)</f>
        <v>16.03</v>
      </c>
      <c r="G19" s="509">
        <f>TRUNC(F19*1.2882,2)</f>
        <v>20.64</v>
      </c>
      <c r="H19" s="509">
        <f>TRUNC(F19*E19,2)</f>
        <v>96.18</v>
      </c>
      <c r="I19" s="510">
        <f>TRUNC(E19*G19,2)</f>
        <v>123.84</v>
      </c>
      <c r="K19" s="512"/>
    </row>
    <row r="20" spans="1:11" s="511" customFormat="1" ht="30">
      <c r="A20" s="504" t="s">
        <v>786</v>
      </c>
      <c r="B20" s="505" t="s">
        <v>787</v>
      </c>
      <c r="C20" s="506" t="s">
        <v>790</v>
      </c>
      <c r="D20" s="507" t="s">
        <v>141</v>
      </c>
      <c r="E20" s="508">
        <v>6.6</v>
      </c>
      <c r="F20" s="509">
        <f>TRUNC(MEMÓRIA!F50,2)</f>
        <v>32.06</v>
      </c>
      <c r="G20" s="509">
        <f>TRUNC(F20*1.2882,2)</f>
        <v>41.29</v>
      </c>
      <c r="H20" s="509">
        <f>TRUNC(F20*E20,2)</f>
        <v>211.59</v>
      </c>
      <c r="I20" s="510">
        <f>TRUNC(E20*G20,2)</f>
        <v>272.51</v>
      </c>
      <c r="K20" s="512"/>
    </row>
    <row r="21" spans="1:11" s="511" customFormat="1" ht="30">
      <c r="A21" s="504" t="s">
        <v>791</v>
      </c>
      <c r="B21" s="505" t="s">
        <v>792</v>
      </c>
      <c r="C21" s="506" t="s">
        <v>793</v>
      </c>
      <c r="D21" s="507" t="s">
        <v>148</v>
      </c>
      <c r="E21" s="508">
        <v>31</v>
      </c>
      <c r="F21" s="509">
        <f>TRUNC(MEMÓRIA!F55,2)</f>
        <v>4.64</v>
      </c>
      <c r="G21" s="509">
        <f>TRUNC(F21*1.2882,2)</f>
        <v>5.97</v>
      </c>
      <c r="H21" s="509">
        <f>TRUNC(F21*E21,2)</f>
        <v>143.84</v>
      </c>
      <c r="I21" s="510">
        <f>TRUNC(E21*G21,2)</f>
        <v>185.07</v>
      </c>
      <c r="K21" s="512"/>
    </row>
    <row r="22" spans="1:11" s="511" customFormat="1" ht="46.5">
      <c r="A22" s="504" t="s">
        <v>819</v>
      </c>
      <c r="B22" s="505" t="s">
        <v>820</v>
      </c>
      <c r="C22" s="506" t="s">
        <v>994</v>
      </c>
      <c r="D22" s="507" t="s">
        <v>142</v>
      </c>
      <c r="E22" s="508">
        <v>121.04</v>
      </c>
      <c r="F22" s="509">
        <f>TRUNC(MEMÓRIA!F59,2)</f>
        <v>9.43</v>
      </c>
      <c r="G22" s="509">
        <f>TRUNC(F22*1.2882,2)</f>
        <v>12.14</v>
      </c>
      <c r="H22" s="509">
        <f>TRUNC(F22*E22,2)</f>
        <v>1141.4</v>
      </c>
      <c r="I22" s="510">
        <f>TRUNC(E22*G22,2)</f>
        <v>1469.42</v>
      </c>
      <c r="J22" s="511">
        <f>E22*0.1*2.2</f>
        <v>26.628800000000005</v>
      </c>
      <c r="K22" s="512"/>
    </row>
    <row r="23" spans="1:11" s="511" customFormat="1" ht="45">
      <c r="A23" s="504" t="s">
        <v>989</v>
      </c>
      <c r="B23" s="505" t="s">
        <v>990</v>
      </c>
      <c r="C23" s="506" t="s">
        <v>991</v>
      </c>
      <c r="D23" s="507" t="s">
        <v>142</v>
      </c>
      <c r="E23" s="508">
        <v>95</v>
      </c>
      <c r="F23" s="509">
        <f>TRUNC(MEMÓRIA!F63,2)</f>
        <v>11.69</v>
      </c>
      <c r="G23" s="509">
        <f>TRUNC(F23*1.2882,2)</f>
        <v>15.05</v>
      </c>
      <c r="H23" s="509">
        <f>TRUNC(F23*E23,2)</f>
        <v>1110.55</v>
      </c>
      <c r="I23" s="510">
        <f>TRUNC(E23*G23,2)</f>
        <v>1429.75</v>
      </c>
      <c r="K23" s="512"/>
    </row>
    <row r="24" spans="1:9" s="511" customFormat="1" ht="15.75">
      <c r="A24" s="513" t="s">
        <v>491</v>
      </c>
      <c r="B24" s="514"/>
      <c r="C24" s="515" t="s">
        <v>153</v>
      </c>
      <c r="D24" s="514"/>
      <c r="E24" s="515"/>
      <c r="F24" s="515"/>
      <c r="G24" s="515"/>
      <c r="H24" s="516">
        <f>SUM(H13:H23)</f>
        <v>9892.970000000001</v>
      </c>
      <c r="I24" s="516">
        <f>SUM(I13:I23)</f>
        <v>12741.210000000001</v>
      </c>
    </row>
    <row r="25" spans="1:16" s="511" customFormat="1" ht="15.75">
      <c r="A25" s="7" t="s">
        <v>154</v>
      </c>
      <c r="B25" s="517"/>
      <c r="C25" s="518" t="s">
        <v>107</v>
      </c>
      <c r="D25" s="519"/>
      <c r="E25" s="518"/>
      <c r="F25" s="518"/>
      <c r="G25" s="518"/>
      <c r="H25" s="518"/>
      <c r="I25" s="518"/>
      <c r="K25" s="520"/>
      <c r="L25" s="521"/>
      <c r="M25" s="522"/>
      <c r="N25" s="523"/>
      <c r="O25" s="524"/>
      <c r="P25" s="524"/>
    </row>
    <row r="26" spans="1:16" s="511" customFormat="1" ht="45">
      <c r="A26" s="513" t="s">
        <v>949</v>
      </c>
      <c r="B26" s="505" t="s">
        <v>951</v>
      </c>
      <c r="C26" s="525" t="s">
        <v>952</v>
      </c>
      <c r="D26" s="507" t="s">
        <v>43</v>
      </c>
      <c r="E26" s="508">
        <v>46.55</v>
      </c>
      <c r="F26" s="509">
        <f>TRUNC(MEMÓRIA!F70,2)</f>
        <v>45.8</v>
      </c>
      <c r="G26" s="509">
        <f>TRUNC(F26*1.2882,2)</f>
        <v>58.99</v>
      </c>
      <c r="H26" s="509">
        <f>TRUNC(F26*E26,2)</f>
        <v>2131.99</v>
      </c>
      <c r="I26" s="510">
        <f>TRUNC(E26*G26,2)</f>
        <v>2745.98</v>
      </c>
      <c r="K26" s="520"/>
      <c r="L26" s="521"/>
      <c r="M26" s="522"/>
      <c r="N26" s="523"/>
      <c r="O26" s="524"/>
      <c r="P26" s="524"/>
    </row>
    <row r="27" spans="1:16" s="511" customFormat="1" ht="45">
      <c r="A27" s="513" t="s">
        <v>950</v>
      </c>
      <c r="B27" s="505" t="s">
        <v>953</v>
      </c>
      <c r="C27" s="525" t="s">
        <v>954</v>
      </c>
      <c r="D27" s="507" t="s">
        <v>43</v>
      </c>
      <c r="E27" s="508">
        <v>23.28</v>
      </c>
      <c r="F27" s="509">
        <f>TRUNC(MEMÓRIA!F74,2)</f>
        <v>33.68</v>
      </c>
      <c r="G27" s="509">
        <f>TRUNC(F27*1.2882,2)</f>
        <v>43.38</v>
      </c>
      <c r="H27" s="509">
        <f>TRUNC(F27*E27,2)</f>
        <v>784.07</v>
      </c>
      <c r="I27" s="510">
        <f>TRUNC(E27*G27,2)</f>
        <v>1009.88</v>
      </c>
      <c r="J27" s="511">
        <f>(E26-E27)*1.3</f>
        <v>30.250999999999994</v>
      </c>
      <c r="K27" s="520"/>
      <c r="L27" s="521"/>
      <c r="M27" s="522"/>
      <c r="N27" s="523"/>
      <c r="O27" s="524"/>
      <c r="P27" s="524"/>
    </row>
    <row r="28" spans="1:16" s="511" customFormat="1" ht="91.5">
      <c r="A28" s="513" t="s">
        <v>955</v>
      </c>
      <c r="B28" s="505" t="s">
        <v>981</v>
      </c>
      <c r="C28" s="525" t="s">
        <v>995</v>
      </c>
      <c r="D28" s="507" t="s">
        <v>43</v>
      </c>
      <c r="E28" s="508">
        <v>40.58</v>
      </c>
      <c r="F28" s="509">
        <f>TRUNC(MEMÓRIA!F78,2)</f>
        <v>1674.33</v>
      </c>
      <c r="G28" s="509">
        <f>TRUNC(F28*1.2882,2)</f>
        <v>2156.87</v>
      </c>
      <c r="H28" s="509">
        <f>TRUNC(F28*E28,2)</f>
        <v>67944.31</v>
      </c>
      <c r="I28" s="510">
        <f>TRUNC(E28*G28,2)</f>
        <v>87525.78</v>
      </c>
      <c r="K28" s="520"/>
      <c r="L28" s="521"/>
      <c r="M28" s="522"/>
      <c r="N28" s="523"/>
      <c r="O28" s="524"/>
      <c r="P28" s="524"/>
    </row>
    <row r="29" spans="1:16" s="511" customFormat="1" ht="60">
      <c r="A29" s="513" t="s">
        <v>982</v>
      </c>
      <c r="B29" s="504" t="s">
        <v>935</v>
      </c>
      <c r="C29" s="526" t="s">
        <v>936</v>
      </c>
      <c r="D29" s="513" t="s">
        <v>142</v>
      </c>
      <c r="E29" s="510">
        <v>168.66</v>
      </c>
      <c r="F29" s="509">
        <f>TRUNC(MEMÓRIA!F101,2)</f>
        <v>154.12</v>
      </c>
      <c r="G29" s="509">
        <f>TRUNC(F29*1.2882,2)</f>
        <v>198.53</v>
      </c>
      <c r="H29" s="509">
        <f>TRUNC(F29*E29,2)</f>
        <v>25993.87</v>
      </c>
      <c r="I29" s="510">
        <f>TRUNC(E29*G29,2)</f>
        <v>33484.06</v>
      </c>
      <c r="K29" s="520"/>
      <c r="L29" s="521"/>
      <c r="M29" s="522"/>
      <c r="N29" s="523"/>
      <c r="O29" s="524"/>
      <c r="P29" s="524"/>
    </row>
    <row r="30" spans="1:16" s="511" customFormat="1" ht="15.75">
      <c r="A30" s="527" t="s">
        <v>491</v>
      </c>
      <c r="B30" s="517"/>
      <c r="C30" s="528" t="s">
        <v>155</v>
      </c>
      <c r="D30" s="529"/>
      <c r="E30" s="528"/>
      <c r="F30" s="528"/>
      <c r="G30" s="528"/>
      <c r="H30" s="530">
        <f>SUM(H26:H29)</f>
        <v>96854.23999999999</v>
      </c>
      <c r="I30" s="530">
        <f>SUM(I26:I29)</f>
        <v>124765.7</v>
      </c>
      <c r="K30" s="520"/>
      <c r="L30" s="521"/>
      <c r="M30" s="522"/>
      <c r="N30" s="523"/>
      <c r="O30" s="524"/>
      <c r="P30" s="524"/>
    </row>
    <row r="31" spans="1:16" s="511" customFormat="1" ht="15.75">
      <c r="A31" s="500" t="s">
        <v>156</v>
      </c>
      <c r="B31" s="531"/>
      <c r="C31" s="532" t="s">
        <v>11</v>
      </c>
      <c r="D31" s="6"/>
      <c r="E31" s="532"/>
      <c r="F31" s="532"/>
      <c r="G31" s="532"/>
      <c r="H31" s="532"/>
      <c r="I31" s="532"/>
      <c r="K31" s="520"/>
      <c r="L31" s="521"/>
      <c r="M31" s="522"/>
      <c r="N31" s="523"/>
      <c r="O31" s="524"/>
      <c r="P31" s="524"/>
    </row>
    <row r="32" spans="1:16" s="511" customFormat="1" ht="60">
      <c r="A32" s="513" t="s">
        <v>26</v>
      </c>
      <c r="B32" s="504" t="s">
        <v>391</v>
      </c>
      <c r="C32" s="526" t="s">
        <v>340</v>
      </c>
      <c r="D32" s="513" t="s">
        <v>142</v>
      </c>
      <c r="E32" s="533">
        <v>417.46</v>
      </c>
      <c r="F32" s="509">
        <f>TRUNC(MEMÓRIA!F118,2)</f>
        <v>35.28</v>
      </c>
      <c r="G32" s="509">
        <f>TRUNC(F32*1.2882,2)</f>
        <v>45.44</v>
      </c>
      <c r="H32" s="509">
        <f>TRUNC(F32*E32,2)</f>
        <v>14727.98</v>
      </c>
      <c r="I32" s="510">
        <f>TRUNC(E32*G32,2)</f>
        <v>18969.38</v>
      </c>
      <c r="K32" s="520">
        <f>54.14*0.8</f>
        <v>43.312000000000005</v>
      </c>
      <c r="L32" s="534">
        <f>E32+K32</f>
        <v>460.772</v>
      </c>
      <c r="M32" s="522"/>
      <c r="N32" s="523"/>
      <c r="O32" s="524"/>
      <c r="P32" s="524"/>
    </row>
    <row r="33" spans="1:16" s="511" customFormat="1" ht="30">
      <c r="A33" s="513" t="s">
        <v>27</v>
      </c>
      <c r="B33" s="504" t="s">
        <v>565</v>
      </c>
      <c r="C33" s="526" t="s">
        <v>566</v>
      </c>
      <c r="D33" s="513" t="s">
        <v>142</v>
      </c>
      <c r="E33" s="533">
        <v>105.71</v>
      </c>
      <c r="F33" s="509">
        <f>TRUNC(MEMÓRIA!F125,2)</f>
        <v>86.17</v>
      </c>
      <c r="G33" s="509">
        <f>TRUNC(F33*1.2882,2)</f>
        <v>111</v>
      </c>
      <c r="H33" s="509">
        <f>TRUNC(F33*E33,2)</f>
        <v>9109.03</v>
      </c>
      <c r="I33" s="510">
        <f>TRUNC(E33*G33,2)</f>
        <v>11733.81</v>
      </c>
      <c r="K33" s="520"/>
      <c r="L33" s="521"/>
      <c r="M33" s="522"/>
      <c r="N33" s="523"/>
      <c r="O33" s="524"/>
      <c r="P33" s="524"/>
    </row>
    <row r="34" spans="1:16" s="511" customFormat="1" ht="30">
      <c r="A34" s="513" t="s">
        <v>28</v>
      </c>
      <c r="B34" s="504" t="s">
        <v>743</v>
      </c>
      <c r="C34" s="526" t="s">
        <v>744</v>
      </c>
      <c r="D34" s="513" t="s">
        <v>142</v>
      </c>
      <c r="E34" s="533">
        <v>150.76</v>
      </c>
      <c r="F34" s="509">
        <f>TRUNC(MEMÓRIA!F135,2)</f>
        <v>35.45</v>
      </c>
      <c r="G34" s="509">
        <f>TRUNC(F34*1.2882,2)</f>
        <v>45.66</v>
      </c>
      <c r="H34" s="509">
        <f>TRUNC(F34*E34,2)</f>
        <v>5344.44</v>
      </c>
      <c r="I34" s="510">
        <f>TRUNC(E34*G34,2)</f>
        <v>6883.7</v>
      </c>
      <c r="K34" s="520"/>
      <c r="L34" s="521"/>
      <c r="M34" s="522"/>
      <c r="N34" s="523"/>
      <c r="O34" s="524"/>
      <c r="P34" s="524"/>
    </row>
    <row r="35" spans="1:16" s="511" customFormat="1" ht="30">
      <c r="A35" s="513" t="s">
        <v>29</v>
      </c>
      <c r="B35" s="504" t="s">
        <v>563</v>
      </c>
      <c r="C35" s="526" t="s">
        <v>564</v>
      </c>
      <c r="D35" s="513" t="s">
        <v>142</v>
      </c>
      <c r="E35" s="533">
        <v>150.76</v>
      </c>
      <c r="F35" s="509">
        <f>TRUNC(MEMÓRIA!F143,2)</f>
        <v>55.47</v>
      </c>
      <c r="G35" s="509">
        <f>TRUNC(F35*1.2882,2)</f>
        <v>71.45</v>
      </c>
      <c r="H35" s="509">
        <f>TRUNC(F35*E35,2)</f>
        <v>8362.65</v>
      </c>
      <c r="I35" s="510">
        <f>TRUNC(E35*G35,2)</f>
        <v>10771.8</v>
      </c>
      <c r="K35" s="520"/>
      <c r="L35" s="521"/>
      <c r="M35" s="522"/>
      <c r="N35" s="523"/>
      <c r="O35" s="524"/>
      <c r="P35" s="524"/>
    </row>
    <row r="36" spans="1:11" s="511" customFormat="1" ht="30">
      <c r="A36" s="513" t="s">
        <v>30</v>
      </c>
      <c r="B36" s="535" t="s">
        <v>710</v>
      </c>
      <c r="C36" s="536" t="s">
        <v>711</v>
      </c>
      <c r="D36" s="513" t="s">
        <v>141</v>
      </c>
      <c r="E36" s="537">
        <v>190.69</v>
      </c>
      <c r="F36" s="509">
        <f>TRUNC(MEMÓRIA!F150,2)</f>
        <v>29.12</v>
      </c>
      <c r="G36" s="509">
        <f>TRUNC(F36*1.2882,2)</f>
        <v>37.51</v>
      </c>
      <c r="H36" s="509">
        <f>TRUNC(F36*E36,2)</f>
        <v>5552.89</v>
      </c>
      <c r="I36" s="510">
        <f>TRUNC(E36*G36,2)</f>
        <v>7152.78</v>
      </c>
      <c r="K36" s="512"/>
    </row>
    <row r="37" spans="1:11" s="511" customFormat="1" ht="45">
      <c r="A37" s="513" t="s">
        <v>31</v>
      </c>
      <c r="B37" s="535" t="s">
        <v>700</v>
      </c>
      <c r="C37" s="536" t="s">
        <v>701</v>
      </c>
      <c r="D37" s="513" t="s">
        <v>142</v>
      </c>
      <c r="E37" s="537">
        <v>21.55</v>
      </c>
      <c r="F37" s="509">
        <f>TRUNC(MEMÓRIA!F161,2)</f>
        <v>112.19</v>
      </c>
      <c r="G37" s="509">
        <f>TRUNC(F37*1.2882,2)</f>
        <v>144.52</v>
      </c>
      <c r="H37" s="509">
        <f>TRUNC(F37*E37,2)</f>
        <v>2417.69</v>
      </c>
      <c r="I37" s="510">
        <f>TRUNC(E37*G37,2)</f>
        <v>3114.4</v>
      </c>
      <c r="K37" s="512"/>
    </row>
    <row r="38" spans="1:9" s="511" customFormat="1" ht="45">
      <c r="A38" s="513" t="s">
        <v>32</v>
      </c>
      <c r="B38" s="535" t="s">
        <v>704</v>
      </c>
      <c r="C38" s="536" t="s">
        <v>705</v>
      </c>
      <c r="D38" s="513" t="s">
        <v>142</v>
      </c>
      <c r="E38" s="537">
        <v>7.33</v>
      </c>
      <c r="F38" s="509">
        <f>TRUNC(MEMÓRIA!F171,2)</f>
        <v>112.19</v>
      </c>
      <c r="G38" s="509">
        <f>TRUNC(F38*1.2882,2)</f>
        <v>144.52</v>
      </c>
      <c r="H38" s="509">
        <f>TRUNC(F38*E38,2)</f>
        <v>822.35</v>
      </c>
      <c r="I38" s="510">
        <f>TRUNC(E38*G38,2)</f>
        <v>1059.33</v>
      </c>
    </row>
    <row r="39" spans="1:9" s="511" customFormat="1" ht="30">
      <c r="A39" s="513" t="s">
        <v>159</v>
      </c>
      <c r="B39" s="505" t="s">
        <v>404</v>
      </c>
      <c r="C39" s="538" t="s">
        <v>372</v>
      </c>
      <c r="D39" s="539" t="s">
        <v>141</v>
      </c>
      <c r="E39" s="540">
        <v>18.4</v>
      </c>
      <c r="F39" s="509">
        <f>TRUNC(MEMÓRIA!F181,2)</f>
        <v>45.65</v>
      </c>
      <c r="G39" s="509">
        <f>TRUNC(F39*1.2882,2)</f>
        <v>58.8</v>
      </c>
      <c r="H39" s="509">
        <f>TRUNC(F39*E39,2)</f>
        <v>839.96</v>
      </c>
      <c r="I39" s="510">
        <f>TRUNC(E39*G39,2)</f>
        <v>1081.92</v>
      </c>
    </row>
    <row r="40" spans="1:9" s="511" customFormat="1" ht="45">
      <c r="A40" s="513" t="s">
        <v>114</v>
      </c>
      <c r="B40" s="505" t="s">
        <v>405</v>
      </c>
      <c r="C40" s="538" t="s">
        <v>341</v>
      </c>
      <c r="D40" s="539" t="s">
        <v>141</v>
      </c>
      <c r="E40" s="540">
        <v>15</v>
      </c>
      <c r="F40" s="509">
        <f>TRUNC(MEMÓRIA!F187,2)</f>
        <v>38.95</v>
      </c>
      <c r="G40" s="509">
        <f>TRUNC(F40*1.2882,2)</f>
        <v>50.17</v>
      </c>
      <c r="H40" s="509">
        <f>TRUNC(F40*E40,2)</f>
        <v>584.25</v>
      </c>
      <c r="I40" s="510">
        <f>TRUNC(E40*G40,2)</f>
        <v>752.55</v>
      </c>
    </row>
    <row r="41" spans="1:14" s="511" customFormat="1" ht="30">
      <c r="A41" s="527" t="s">
        <v>751</v>
      </c>
      <c r="B41" s="541" t="s">
        <v>695</v>
      </c>
      <c r="C41" s="542" t="s">
        <v>186</v>
      </c>
      <c r="D41" s="543" t="s">
        <v>89</v>
      </c>
      <c r="E41" s="544">
        <v>931.65</v>
      </c>
      <c r="F41" s="509">
        <f>TRUNC(MEMÓRIA!F196,2)</f>
        <v>24.39</v>
      </c>
      <c r="G41" s="509">
        <f>TRUNC(F41*1.2882,2)</f>
        <v>31.41</v>
      </c>
      <c r="H41" s="509">
        <f>TRUNC(F41*E41,2)</f>
        <v>22722.94</v>
      </c>
      <c r="I41" s="510">
        <f>TRUNC(E41*G41,2)</f>
        <v>29263.12</v>
      </c>
      <c r="J41" s="521"/>
      <c r="K41" s="522"/>
      <c r="L41" s="524"/>
      <c r="M41" s="524"/>
      <c r="N41" s="524"/>
    </row>
    <row r="42" spans="1:14" s="511" customFormat="1" ht="15">
      <c r="A42" s="527" t="s">
        <v>752</v>
      </c>
      <c r="B42" s="541" t="s">
        <v>753</v>
      </c>
      <c r="C42" s="542" t="s">
        <v>754</v>
      </c>
      <c r="D42" s="543" t="s">
        <v>142</v>
      </c>
      <c r="E42" s="544">
        <v>16.64</v>
      </c>
      <c r="F42" s="509">
        <f>TRUNC(MEMÓRIA!F203,2)</f>
        <v>38.7</v>
      </c>
      <c r="G42" s="509">
        <f>TRUNC(F42*1.2882,2)</f>
        <v>49.85</v>
      </c>
      <c r="H42" s="509">
        <f>TRUNC(F42*E42,2)</f>
        <v>643.96</v>
      </c>
      <c r="I42" s="510">
        <f>TRUNC(E42*G42,2)</f>
        <v>829.5</v>
      </c>
      <c r="J42" s="521"/>
      <c r="K42" s="522"/>
      <c r="L42" s="524"/>
      <c r="M42" s="524"/>
      <c r="N42" s="524"/>
    </row>
    <row r="43" spans="1:14" s="511" customFormat="1" ht="30">
      <c r="A43" s="527" t="s">
        <v>822</v>
      </c>
      <c r="B43" s="541" t="s">
        <v>823</v>
      </c>
      <c r="C43" s="542" t="s">
        <v>824</v>
      </c>
      <c r="D43" s="543" t="s">
        <v>142</v>
      </c>
      <c r="E43" s="544">
        <v>35.19</v>
      </c>
      <c r="F43" s="509">
        <f>TRUNC(MEMÓRIA!F213,2)</f>
        <v>73.74</v>
      </c>
      <c r="G43" s="509">
        <f>TRUNC(F43*1.2882,2)</f>
        <v>94.99</v>
      </c>
      <c r="H43" s="509">
        <f>TRUNC(F43*E43,2)</f>
        <v>2594.91</v>
      </c>
      <c r="I43" s="510">
        <f>TRUNC(E43*G43,2)</f>
        <v>3342.69</v>
      </c>
      <c r="J43" s="521"/>
      <c r="K43" s="522"/>
      <c r="L43" s="524"/>
      <c r="M43" s="524"/>
      <c r="N43" s="524"/>
    </row>
    <row r="44" spans="1:9" s="511" customFormat="1" ht="15.75">
      <c r="A44" s="513" t="s">
        <v>491</v>
      </c>
      <c r="B44" s="514"/>
      <c r="C44" s="515" t="s">
        <v>157</v>
      </c>
      <c r="D44" s="514"/>
      <c r="E44" s="515"/>
      <c r="F44" s="515"/>
      <c r="G44" s="515"/>
      <c r="H44" s="516">
        <f>SUM(H32:H43)</f>
        <v>73723.05</v>
      </c>
      <c r="I44" s="516">
        <f>SUM(I32:I43)</f>
        <v>94954.98000000001</v>
      </c>
    </row>
    <row r="45" spans="1:9" s="511" customFormat="1" ht="15.75">
      <c r="A45" s="500" t="s">
        <v>158</v>
      </c>
      <c r="B45" s="535"/>
      <c r="C45" s="545" t="s">
        <v>337</v>
      </c>
      <c r="D45" s="546"/>
      <c r="E45" s="547"/>
      <c r="F45" s="548"/>
      <c r="G45" s="548"/>
      <c r="H45" s="548"/>
      <c r="I45" s="547"/>
    </row>
    <row r="46" spans="1:9" s="511" customFormat="1" ht="60">
      <c r="A46" s="513" t="s">
        <v>145</v>
      </c>
      <c r="B46" s="549" t="s">
        <v>406</v>
      </c>
      <c r="C46" s="536" t="s">
        <v>342</v>
      </c>
      <c r="D46" s="550" t="s">
        <v>148</v>
      </c>
      <c r="E46" s="551">
        <v>5</v>
      </c>
      <c r="F46" s="509">
        <f>TRUNC(MEMÓRIA!F226,2)</f>
        <v>204.2</v>
      </c>
      <c r="G46" s="509">
        <f>TRUNC(F46*1.2882,2)</f>
        <v>263.05</v>
      </c>
      <c r="H46" s="509">
        <f>TRUNC(F46*E46,2)</f>
        <v>1021</v>
      </c>
      <c r="I46" s="510">
        <f>TRUNC(E46*G46,2)</f>
        <v>1315.25</v>
      </c>
    </row>
    <row r="47" spans="1:9" s="511" customFormat="1" ht="30">
      <c r="A47" s="513" t="s">
        <v>14</v>
      </c>
      <c r="B47" s="549" t="s">
        <v>667</v>
      </c>
      <c r="C47" s="536" t="s">
        <v>668</v>
      </c>
      <c r="D47" s="550" t="s">
        <v>148</v>
      </c>
      <c r="E47" s="551">
        <v>2</v>
      </c>
      <c r="F47" s="509">
        <f>MEMÓRIA!F233</f>
        <v>129.95</v>
      </c>
      <c r="G47" s="509">
        <f>TRUNC(F47*1.2882,2)</f>
        <v>167.4</v>
      </c>
      <c r="H47" s="509">
        <f>TRUNC(F47*E47,2)</f>
        <v>259.9</v>
      </c>
      <c r="I47" s="510">
        <f>TRUNC(E47*G47,2)</f>
        <v>334.8</v>
      </c>
    </row>
    <row r="48" spans="1:9" s="511" customFormat="1" ht="45">
      <c r="A48" s="513" t="s">
        <v>68</v>
      </c>
      <c r="B48" s="535" t="s">
        <v>407</v>
      </c>
      <c r="C48" s="536" t="s">
        <v>343</v>
      </c>
      <c r="D48" s="550" t="s">
        <v>148</v>
      </c>
      <c r="E48" s="551">
        <v>2</v>
      </c>
      <c r="F48" s="509">
        <f>TRUNC(MEMÓRIA!F241,2)</f>
        <v>438.81</v>
      </c>
      <c r="G48" s="509">
        <f>TRUNC(F48*1.2882,2)</f>
        <v>565.27</v>
      </c>
      <c r="H48" s="509">
        <f>TRUNC(F48*E48,2)</f>
        <v>877.62</v>
      </c>
      <c r="I48" s="510">
        <f>TRUNC(E48*G48,2)</f>
        <v>1130.54</v>
      </c>
    </row>
    <row r="49" spans="1:9" s="511" customFormat="1" ht="45">
      <c r="A49" s="513" t="s">
        <v>69</v>
      </c>
      <c r="B49" s="535" t="s">
        <v>661</v>
      </c>
      <c r="C49" s="536" t="s">
        <v>662</v>
      </c>
      <c r="D49" s="550" t="s">
        <v>148</v>
      </c>
      <c r="E49" s="551">
        <v>3</v>
      </c>
      <c r="F49" s="509">
        <f>MEMÓRIA!F245</f>
        <v>389.92</v>
      </c>
      <c r="G49" s="509">
        <f>TRUNC(F49*1.2882,2)</f>
        <v>502.29</v>
      </c>
      <c r="H49" s="509">
        <f>TRUNC(F49*E49,2)</f>
        <v>1169.76</v>
      </c>
      <c r="I49" s="510">
        <f>TRUNC(E49*G49,2)</f>
        <v>1506.87</v>
      </c>
    </row>
    <row r="50" spans="1:9" s="511" customFormat="1" ht="75">
      <c r="A50" s="513" t="s">
        <v>70</v>
      </c>
      <c r="B50" s="535" t="s">
        <v>543</v>
      </c>
      <c r="C50" s="536" t="s">
        <v>544</v>
      </c>
      <c r="D50" s="550" t="s">
        <v>148</v>
      </c>
      <c r="E50" s="551">
        <v>5</v>
      </c>
      <c r="F50" s="509">
        <f>MEMÓRIA!F251</f>
        <v>252.82</v>
      </c>
      <c r="G50" s="509">
        <f>TRUNC(F50*1.2882,2)</f>
        <v>325.68</v>
      </c>
      <c r="H50" s="509">
        <f>TRUNC(F50*E50,2)</f>
        <v>1264.1</v>
      </c>
      <c r="I50" s="510">
        <f>TRUNC(E50*G50,2)</f>
        <v>1628.4</v>
      </c>
    </row>
    <row r="51" spans="1:9" s="511" customFormat="1" ht="30">
      <c r="A51" s="513" t="s">
        <v>67</v>
      </c>
      <c r="B51" s="535" t="s">
        <v>412</v>
      </c>
      <c r="C51" s="536" t="s">
        <v>344</v>
      </c>
      <c r="D51" s="550" t="s">
        <v>148</v>
      </c>
      <c r="E51" s="551">
        <v>3</v>
      </c>
      <c r="F51" s="540">
        <f>MEMÓRIA!F268</f>
        <v>37.28</v>
      </c>
      <c r="G51" s="509">
        <f>TRUNC(F51*1.2882,2)</f>
        <v>48.02</v>
      </c>
      <c r="H51" s="509">
        <f>TRUNC(F51*E51,2)</f>
        <v>111.84</v>
      </c>
      <c r="I51" s="510">
        <f>TRUNC(E51*G51,2)</f>
        <v>144.06</v>
      </c>
    </row>
    <row r="52" spans="1:9" s="511" customFormat="1" ht="45">
      <c r="A52" s="513" t="s">
        <v>108</v>
      </c>
      <c r="B52" s="535" t="s">
        <v>413</v>
      </c>
      <c r="C52" s="536" t="s">
        <v>345</v>
      </c>
      <c r="D52" s="550" t="s">
        <v>148</v>
      </c>
      <c r="E52" s="551">
        <v>3</v>
      </c>
      <c r="F52" s="540">
        <f>TRUNC(MEMÓRIA!F271,2)</f>
        <v>124.37</v>
      </c>
      <c r="G52" s="509">
        <f>TRUNC(F52*1.2882,2)</f>
        <v>160.21</v>
      </c>
      <c r="H52" s="509">
        <f>TRUNC(F52*E52,2)</f>
        <v>373.11</v>
      </c>
      <c r="I52" s="510">
        <f>TRUNC(E52*G52,2)</f>
        <v>480.63</v>
      </c>
    </row>
    <row r="53" spans="1:9" s="560" customFormat="1" ht="45">
      <c r="A53" s="552" t="s">
        <v>109</v>
      </c>
      <c r="B53" s="553" t="s">
        <v>835</v>
      </c>
      <c r="C53" s="554" t="s">
        <v>329</v>
      </c>
      <c r="D53" s="555" t="s">
        <v>148</v>
      </c>
      <c r="E53" s="556">
        <v>3</v>
      </c>
      <c r="F53" s="557">
        <f>TRUNC(MEMÓRIA!F282,2)</f>
        <v>723.6</v>
      </c>
      <c r="G53" s="558">
        <f>TRUNC(F53*1.2882,2)</f>
        <v>932.14</v>
      </c>
      <c r="H53" s="558">
        <f>TRUNC(F53*E53,2)</f>
        <v>2170.8</v>
      </c>
      <c r="I53" s="559">
        <f>TRUNC(E53*G53,2)</f>
        <v>2796.42</v>
      </c>
    </row>
    <row r="54" spans="1:9" s="511" customFormat="1" ht="30">
      <c r="A54" s="513" t="s">
        <v>110</v>
      </c>
      <c r="B54" s="535" t="s">
        <v>416</v>
      </c>
      <c r="C54" s="536" t="s">
        <v>348</v>
      </c>
      <c r="D54" s="550" t="s">
        <v>148</v>
      </c>
      <c r="E54" s="551">
        <v>3</v>
      </c>
      <c r="F54" s="540">
        <f>TRUNC(MEMÓRIA!F295,2)</f>
        <v>37.67</v>
      </c>
      <c r="G54" s="509">
        <f>TRUNC(F54*1.2882,2)</f>
        <v>48.52</v>
      </c>
      <c r="H54" s="509">
        <f>TRUNC(F54*E54,2)</f>
        <v>113.01</v>
      </c>
      <c r="I54" s="510">
        <f>TRUNC(E54*G54,2)</f>
        <v>145.56</v>
      </c>
    </row>
    <row r="55" spans="1:9" s="511" customFormat="1" ht="45">
      <c r="A55" s="513" t="s">
        <v>111</v>
      </c>
      <c r="B55" s="535" t="s">
        <v>417</v>
      </c>
      <c r="C55" s="536" t="s">
        <v>349</v>
      </c>
      <c r="D55" s="550" t="s">
        <v>141</v>
      </c>
      <c r="E55" s="551">
        <v>7</v>
      </c>
      <c r="F55" s="540">
        <f>TRUNC(MEMÓRIA!F300,2)</f>
        <v>23.39</v>
      </c>
      <c r="G55" s="509">
        <f>TRUNC(F55*1.2882,2)</f>
        <v>30.13</v>
      </c>
      <c r="H55" s="509">
        <f>TRUNC(F55*E55,2)</f>
        <v>163.73</v>
      </c>
      <c r="I55" s="510">
        <f>TRUNC(E55*G55,2)</f>
        <v>210.91</v>
      </c>
    </row>
    <row r="56" spans="1:9" s="511" customFormat="1" ht="45">
      <c r="A56" s="513" t="s">
        <v>163</v>
      </c>
      <c r="B56" s="535" t="s">
        <v>648</v>
      </c>
      <c r="C56" s="536" t="s">
        <v>353</v>
      </c>
      <c r="D56" s="550" t="s">
        <v>141</v>
      </c>
      <c r="E56" s="551">
        <v>8</v>
      </c>
      <c r="F56" s="540">
        <f>MEMÓRIA!F306</f>
        <v>14.61</v>
      </c>
      <c r="G56" s="509">
        <f>TRUNC(F56*1.2882,2)</f>
        <v>18.82</v>
      </c>
      <c r="H56" s="509">
        <f>TRUNC(F56*E56,2)</f>
        <v>116.88</v>
      </c>
      <c r="I56" s="510">
        <f>TRUNC(E56*G56,2)</f>
        <v>150.56</v>
      </c>
    </row>
    <row r="57" spans="1:9" s="511" customFormat="1" ht="45">
      <c r="A57" s="513" t="s">
        <v>164</v>
      </c>
      <c r="B57" s="535" t="s">
        <v>651</v>
      </c>
      <c r="C57" s="536" t="s">
        <v>652</v>
      </c>
      <c r="D57" s="550" t="s">
        <v>141</v>
      </c>
      <c r="E57" s="551">
        <v>187.8</v>
      </c>
      <c r="F57" s="540">
        <f>MEMÓRIA!F313</f>
        <v>7.36</v>
      </c>
      <c r="G57" s="509">
        <f>TRUNC(F57*1.2882,2)</f>
        <v>9.48</v>
      </c>
      <c r="H57" s="509">
        <f>TRUNC(F57*E57,2)</f>
        <v>1382.2</v>
      </c>
      <c r="I57" s="510">
        <f>TRUNC(E57*G57,2)</f>
        <v>1780.34</v>
      </c>
    </row>
    <row r="58" spans="1:9" s="511" customFormat="1" ht="45">
      <c r="A58" s="513" t="s">
        <v>165</v>
      </c>
      <c r="B58" s="535" t="s">
        <v>653</v>
      </c>
      <c r="C58" s="536" t="s">
        <v>654</v>
      </c>
      <c r="D58" s="550" t="s">
        <v>141</v>
      </c>
      <c r="E58" s="551">
        <f>4+3+3+2+2+5.5+1.5+1+1+1+1.5+3</f>
        <v>28.5</v>
      </c>
      <c r="F58" s="540">
        <f>MEMÓRIA!F320</f>
        <v>6.74</v>
      </c>
      <c r="G58" s="509">
        <f>TRUNC(F58*1.2882,2)</f>
        <v>8.68</v>
      </c>
      <c r="H58" s="509">
        <f>TRUNC(F58*E58,2)</f>
        <v>192.09</v>
      </c>
      <c r="I58" s="510">
        <f>TRUNC(E58*G58,2)</f>
        <v>247.38</v>
      </c>
    </row>
    <row r="59" spans="1:9" s="511" customFormat="1" ht="30">
      <c r="A59" s="513" t="s">
        <v>166</v>
      </c>
      <c r="B59" s="535" t="s">
        <v>655</v>
      </c>
      <c r="C59" s="536" t="s">
        <v>656</v>
      </c>
      <c r="D59" s="535" t="s">
        <v>148</v>
      </c>
      <c r="E59" s="551">
        <v>3</v>
      </c>
      <c r="F59" s="540">
        <f>TRUNC(MEMÓRIA!F327,2)</f>
        <v>123.49</v>
      </c>
      <c r="G59" s="509">
        <f>TRUNC(F59*1.2882,2)</f>
        <v>159.07</v>
      </c>
      <c r="H59" s="509">
        <f>TRUNC(F59*E59,2)</f>
        <v>370.47</v>
      </c>
      <c r="I59" s="510">
        <f>TRUNC(E59*G59,2)</f>
        <v>477.21</v>
      </c>
    </row>
    <row r="60" spans="1:9" s="511" customFormat="1" ht="30">
      <c r="A60" s="513" t="s">
        <v>167</v>
      </c>
      <c r="B60" s="535" t="s">
        <v>657</v>
      </c>
      <c r="C60" s="536" t="s">
        <v>658</v>
      </c>
      <c r="D60" s="535" t="s">
        <v>148</v>
      </c>
      <c r="E60" s="551">
        <v>3</v>
      </c>
      <c r="F60" s="540">
        <f>TRUNC(MEMÓRIA!F333,2)</f>
        <v>65.56</v>
      </c>
      <c r="G60" s="509">
        <f>TRUNC(F60*1.2882,2)</f>
        <v>84.45</v>
      </c>
      <c r="H60" s="509">
        <f>TRUNC(F60*E60,2)</f>
        <v>196.68</v>
      </c>
      <c r="I60" s="510">
        <f>TRUNC(E60*G60,2)</f>
        <v>253.35</v>
      </c>
    </row>
    <row r="61" spans="1:9" s="511" customFormat="1" ht="30">
      <c r="A61" s="513" t="s">
        <v>168</v>
      </c>
      <c r="B61" s="535" t="s">
        <v>836</v>
      </c>
      <c r="C61" s="536" t="s">
        <v>837</v>
      </c>
      <c r="D61" s="535" t="s">
        <v>148</v>
      </c>
      <c r="E61" s="551">
        <v>12</v>
      </c>
      <c r="F61" s="540">
        <f>TRUNC(MEMÓRIA!F339,2)</f>
        <v>53.34</v>
      </c>
      <c r="G61" s="509">
        <f>TRUNC(F61*1.2882,2)</f>
        <v>68.71</v>
      </c>
      <c r="H61" s="509">
        <f>TRUNC(F61*E61,2)</f>
        <v>640.08</v>
      </c>
      <c r="I61" s="510">
        <f>TRUNC(E61*G61,2)</f>
        <v>824.52</v>
      </c>
    </row>
    <row r="62" spans="1:9" s="511" customFormat="1" ht="30">
      <c r="A62" s="513" t="s">
        <v>169</v>
      </c>
      <c r="B62" s="535" t="s">
        <v>418</v>
      </c>
      <c r="C62" s="536" t="s">
        <v>351</v>
      </c>
      <c r="D62" s="535" t="s">
        <v>148</v>
      </c>
      <c r="E62" s="551">
        <v>4</v>
      </c>
      <c r="F62" s="540">
        <f>TRUNC(MEMÓRIA!F345,2)</f>
        <v>42.72</v>
      </c>
      <c r="G62" s="509">
        <f>TRUNC(F62*1.2882,2)</f>
        <v>55.03</v>
      </c>
      <c r="H62" s="509">
        <f>TRUNC(F62*E62,2)</f>
        <v>170.88</v>
      </c>
      <c r="I62" s="510">
        <f>TRUNC(E62*G62,2)</f>
        <v>220.12</v>
      </c>
    </row>
    <row r="63" spans="1:9" s="511" customFormat="1" ht="45">
      <c r="A63" s="513" t="s">
        <v>170</v>
      </c>
      <c r="B63" s="535" t="s">
        <v>419</v>
      </c>
      <c r="C63" s="536" t="s">
        <v>352</v>
      </c>
      <c r="D63" s="535" t="s">
        <v>141</v>
      </c>
      <c r="E63" s="551">
        <v>17</v>
      </c>
      <c r="F63" s="540">
        <f>TRUNC(MEMÓRIA!F350,2)</f>
        <v>41.88</v>
      </c>
      <c r="G63" s="509">
        <f>TRUNC(F63*1.2882,2)</f>
        <v>53.94</v>
      </c>
      <c r="H63" s="509">
        <f>TRUNC(F63*E63,2)</f>
        <v>711.96</v>
      </c>
      <c r="I63" s="510">
        <f>TRUNC(E63*G63,2)</f>
        <v>916.98</v>
      </c>
    </row>
    <row r="64" spans="1:9" s="511" customFormat="1" ht="45">
      <c r="A64" s="513" t="s">
        <v>171</v>
      </c>
      <c r="B64" s="535" t="s">
        <v>638</v>
      </c>
      <c r="C64" s="536" t="s">
        <v>639</v>
      </c>
      <c r="D64" s="535" t="s">
        <v>141</v>
      </c>
      <c r="E64" s="551">
        <v>65</v>
      </c>
      <c r="F64" s="540">
        <f>MEMÓRIA!F356</f>
        <v>20.95</v>
      </c>
      <c r="G64" s="509">
        <f>TRUNC(F64*1.2882,2)</f>
        <v>26.98</v>
      </c>
      <c r="H64" s="509">
        <f>TRUNC(F64*E64,2)</f>
        <v>1361.75</v>
      </c>
      <c r="I64" s="510">
        <f>TRUNC(E64*G64,2)</f>
        <v>1753.7</v>
      </c>
    </row>
    <row r="65" spans="1:9" s="511" customFormat="1" ht="45">
      <c r="A65" s="513" t="s">
        <v>112</v>
      </c>
      <c r="B65" s="535" t="s">
        <v>422</v>
      </c>
      <c r="C65" s="536" t="s">
        <v>354</v>
      </c>
      <c r="D65" s="535" t="s">
        <v>141</v>
      </c>
      <c r="E65" s="551">
        <v>25</v>
      </c>
      <c r="F65" s="540">
        <f>TRUNC(MEMÓRIA!F363,2)</f>
        <v>17.99</v>
      </c>
      <c r="G65" s="509">
        <f>TRUNC(F65*1.2882,2)</f>
        <v>23.17</v>
      </c>
      <c r="H65" s="509">
        <f>TRUNC(F65*E65,2)</f>
        <v>449.75</v>
      </c>
      <c r="I65" s="510">
        <f>TRUNC(E65*G65,2)</f>
        <v>579.25</v>
      </c>
    </row>
    <row r="66" spans="1:9" s="511" customFormat="1" ht="45">
      <c r="A66" s="513" t="s">
        <v>172</v>
      </c>
      <c r="B66" s="535" t="s">
        <v>420</v>
      </c>
      <c r="C66" s="536" t="s">
        <v>350</v>
      </c>
      <c r="D66" s="535" t="s">
        <v>141</v>
      </c>
      <c r="E66" s="551">
        <v>18</v>
      </c>
      <c r="F66" s="540">
        <f>TRUNC(MEMÓRIA!F368,2)</f>
        <v>13.43</v>
      </c>
      <c r="G66" s="509">
        <f>TRUNC(F66*1.2882,2)</f>
        <v>17.3</v>
      </c>
      <c r="H66" s="509">
        <f>TRUNC(F66*E66,2)</f>
        <v>241.74</v>
      </c>
      <c r="I66" s="510">
        <f>TRUNC(E66*G66,2)</f>
        <v>311.4</v>
      </c>
    </row>
    <row r="67" spans="1:9" s="511" customFormat="1" ht="45">
      <c r="A67" s="513" t="s">
        <v>173</v>
      </c>
      <c r="B67" s="535" t="s">
        <v>421</v>
      </c>
      <c r="C67" s="536" t="s">
        <v>353</v>
      </c>
      <c r="D67" s="535" t="s">
        <v>141</v>
      </c>
      <c r="E67" s="551">
        <v>48</v>
      </c>
      <c r="F67" s="540">
        <f>TRUNC(MEMÓRIA!F374,2)</f>
        <v>9.55</v>
      </c>
      <c r="G67" s="509">
        <f>TRUNC(F67*1.2882,2)</f>
        <v>12.3</v>
      </c>
      <c r="H67" s="509">
        <f>TRUNC(F67*E67,2)</f>
        <v>458.4</v>
      </c>
      <c r="I67" s="510">
        <f>TRUNC(E67*G67,2)</f>
        <v>590.4</v>
      </c>
    </row>
    <row r="68" spans="1:9" s="511" customFormat="1" ht="60">
      <c r="A68" s="513" t="s">
        <v>174</v>
      </c>
      <c r="B68" s="535" t="s">
        <v>423</v>
      </c>
      <c r="C68" s="536" t="s">
        <v>355</v>
      </c>
      <c r="D68" s="535" t="s">
        <v>148</v>
      </c>
      <c r="E68" s="551">
        <v>4</v>
      </c>
      <c r="F68" s="540">
        <f>TRUNC(MEMÓRIA!F380,2)</f>
        <v>92.13</v>
      </c>
      <c r="G68" s="509">
        <f>TRUNC(F68*1.2882,2)</f>
        <v>118.68</v>
      </c>
      <c r="H68" s="509">
        <f>TRUNC(F68*E68,2)</f>
        <v>368.52</v>
      </c>
      <c r="I68" s="510">
        <f>TRUNC(E68*G68,2)</f>
        <v>474.72</v>
      </c>
    </row>
    <row r="69" spans="1:9" s="511" customFormat="1" ht="45">
      <c r="A69" s="513" t="s">
        <v>175</v>
      </c>
      <c r="B69" s="535" t="s">
        <v>640</v>
      </c>
      <c r="C69" s="536" t="s">
        <v>641</v>
      </c>
      <c r="D69" s="535" t="s">
        <v>51</v>
      </c>
      <c r="E69" s="551">
        <v>1</v>
      </c>
      <c r="F69" s="540">
        <f>TRUNC(MEMÓRIA!F388,2)</f>
        <v>197.38</v>
      </c>
      <c r="G69" s="509">
        <f>TRUNC(F69*1.2882,2)</f>
        <v>254.26</v>
      </c>
      <c r="H69" s="509">
        <f>TRUNC(F69*E69,2)</f>
        <v>197.38</v>
      </c>
      <c r="I69" s="510">
        <f>TRUNC(E69*G69,2)</f>
        <v>254.26</v>
      </c>
    </row>
    <row r="70" spans="1:9" s="560" customFormat="1" ht="60">
      <c r="A70" s="552" t="s">
        <v>176</v>
      </c>
      <c r="B70" s="561" t="s">
        <v>253</v>
      </c>
      <c r="C70" s="554" t="s">
        <v>198</v>
      </c>
      <c r="D70" s="561" t="s">
        <v>148</v>
      </c>
      <c r="E70" s="556">
        <v>4</v>
      </c>
      <c r="F70" s="557">
        <f>TRUNC(MEMÓRIA!F395,2)</f>
        <v>343.3</v>
      </c>
      <c r="G70" s="558">
        <f>TRUNC(F70*1.2882,2)</f>
        <v>442.23</v>
      </c>
      <c r="H70" s="558">
        <f>TRUNC(F70*E70,2)</f>
        <v>1373.2</v>
      </c>
      <c r="I70" s="559">
        <f>TRUNC(E70*G70,2)</f>
        <v>1768.92</v>
      </c>
    </row>
    <row r="71" spans="1:9" s="511" customFormat="1" ht="60">
      <c r="A71" s="513" t="s">
        <v>177</v>
      </c>
      <c r="B71" s="535" t="s">
        <v>253</v>
      </c>
      <c r="C71" s="536" t="s">
        <v>646</v>
      </c>
      <c r="D71" s="535" t="s">
        <v>148</v>
      </c>
      <c r="E71" s="551">
        <v>4</v>
      </c>
      <c r="F71" s="540">
        <f>MEMÓRIA!F415</f>
        <v>654.59</v>
      </c>
      <c r="G71" s="509">
        <f>TRUNC(F71*1.2882,2)</f>
        <v>843.24</v>
      </c>
      <c r="H71" s="509">
        <f>TRUNC(F71*E71,2)</f>
        <v>2618.36</v>
      </c>
      <c r="I71" s="510">
        <f>TRUNC(E71*G71,2)</f>
        <v>3372.96</v>
      </c>
    </row>
    <row r="72" spans="1:9" s="503" customFormat="1" ht="30">
      <c r="A72" s="513" t="s">
        <v>178</v>
      </c>
      <c r="B72" s="535" t="s">
        <v>440</v>
      </c>
      <c r="C72" s="536" t="s">
        <v>356</v>
      </c>
      <c r="D72" s="550" t="s">
        <v>148</v>
      </c>
      <c r="E72" s="551">
        <v>5</v>
      </c>
      <c r="F72" s="510">
        <f>TRUNC(MEMÓRIA!F435,2)</f>
        <v>27.33</v>
      </c>
      <c r="G72" s="509">
        <f>TRUNC(F72*1.2882,2)</f>
        <v>35.2</v>
      </c>
      <c r="H72" s="509">
        <f>TRUNC(F72*E72,2)</f>
        <v>136.65</v>
      </c>
      <c r="I72" s="510">
        <f>TRUNC(E72*G72,2)</f>
        <v>176</v>
      </c>
    </row>
    <row r="73" spans="1:9" s="503" customFormat="1" ht="30">
      <c r="A73" s="513" t="s">
        <v>179</v>
      </c>
      <c r="B73" s="535" t="s">
        <v>441</v>
      </c>
      <c r="C73" s="536" t="s">
        <v>357</v>
      </c>
      <c r="D73" s="535" t="s">
        <v>148</v>
      </c>
      <c r="E73" s="551">
        <v>10</v>
      </c>
      <c r="F73" s="510">
        <f>TRUNC(MEMÓRIA!F439,2)</f>
        <v>28.47</v>
      </c>
      <c r="G73" s="509">
        <f>TRUNC(F73*1.2882,2)</f>
        <v>36.67</v>
      </c>
      <c r="H73" s="509">
        <f>TRUNC(F73*E73,2)</f>
        <v>284.7</v>
      </c>
      <c r="I73" s="510">
        <f>TRUNC(E73*G73,2)</f>
        <v>366.7</v>
      </c>
    </row>
    <row r="74" spans="1:9" s="511" customFormat="1" ht="61.5">
      <c r="A74" s="513" t="s">
        <v>180</v>
      </c>
      <c r="B74" s="535" t="s">
        <v>677</v>
      </c>
      <c r="C74" s="536" t="s">
        <v>996</v>
      </c>
      <c r="D74" s="550" t="s">
        <v>142</v>
      </c>
      <c r="E74" s="551">
        <v>5.21</v>
      </c>
      <c r="F74" s="540">
        <f>MEMÓRIA!F443</f>
        <v>330.32</v>
      </c>
      <c r="G74" s="509">
        <f>TRUNC(F74*1.2882,2)</f>
        <v>425.51</v>
      </c>
      <c r="H74" s="509">
        <f>TRUNC(F74*E74,2)</f>
        <v>1720.96</v>
      </c>
      <c r="I74" s="510">
        <f>TRUNC(E74*G74,2)</f>
        <v>2216.9</v>
      </c>
    </row>
    <row r="75" spans="1:9" s="511" customFormat="1" ht="45.75">
      <c r="A75" s="513" t="s">
        <v>181</v>
      </c>
      <c r="B75" s="535" t="s">
        <v>681</v>
      </c>
      <c r="C75" s="536" t="s">
        <v>997</v>
      </c>
      <c r="D75" s="550" t="s">
        <v>148</v>
      </c>
      <c r="E75" s="551">
        <v>4</v>
      </c>
      <c r="F75" s="540">
        <f>MEMÓRIA!F451</f>
        <v>527.67</v>
      </c>
      <c r="G75" s="509">
        <f>TRUNC(F75*1.2882,2)</f>
        <v>679.74</v>
      </c>
      <c r="H75" s="509">
        <f>TRUNC(F75*E75,2)</f>
        <v>2110.68</v>
      </c>
      <c r="I75" s="510">
        <f>TRUNC(E75*G75,2)</f>
        <v>2718.96</v>
      </c>
    </row>
    <row r="76" spans="1:9" s="511" customFormat="1" ht="30">
      <c r="A76" s="513" t="s">
        <v>182</v>
      </c>
      <c r="B76" s="535" t="s">
        <v>691</v>
      </c>
      <c r="C76" s="536" t="s">
        <v>692</v>
      </c>
      <c r="D76" s="550" t="s">
        <v>148</v>
      </c>
      <c r="E76" s="551">
        <v>4</v>
      </c>
      <c r="F76" s="540">
        <f>MEMÓRIA!F459</f>
        <v>84.48</v>
      </c>
      <c r="G76" s="509">
        <f>TRUNC(F76*1.2882,2)</f>
        <v>108.82</v>
      </c>
      <c r="H76" s="509">
        <f>TRUNC(F76*E76,2)</f>
        <v>337.92</v>
      </c>
      <c r="I76" s="510">
        <f>TRUNC(E76*G76,2)</f>
        <v>435.28</v>
      </c>
    </row>
    <row r="77" spans="1:9" s="511" customFormat="1" ht="60">
      <c r="A77" s="513" t="s">
        <v>183</v>
      </c>
      <c r="B77" s="535" t="s">
        <v>461</v>
      </c>
      <c r="C77" s="536" t="s">
        <v>685</v>
      </c>
      <c r="D77" s="550" t="s">
        <v>148</v>
      </c>
      <c r="E77" s="551">
        <v>6</v>
      </c>
      <c r="F77" s="540">
        <f>MEMÓRIA!F463</f>
        <v>124.39</v>
      </c>
      <c r="G77" s="509">
        <f>TRUNC(F77*1.2882,2)</f>
        <v>160.23</v>
      </c>
      <c r="H77" s="509">
        <f>TRUNC(F77*E77,2)</f>
        <v>746.34</v>
      </c>
      <c r="I77" s="510">
        <f>TRUNC(E77*G77,2)</f>
        <v>961.38</v>
      </c>
    </row>
    <row r="78" spans="1:9" s="511" customFormat="1" ht="60">
      <c r="A78" s="513" t="s">
        <v>184</v>
      </c>
      <c r="B78" s="535" t="s">
        <v>687</v>
      </c>
      <c r="C78" s="536" t="s">
        <v>688</v>
      </c>
      <c r="D78" s="550" t="s">
        <v>148</v>
      </c>
      <c r="E78" s="551">
        <v>2</v>
      </c>
      <c r="F78" s="540">
        <f>MEMÓRIA!F469</f>
        <v>285.8</v>
      </c>
      <c r="G78" s="509">
        <f>TRUNC(F78*1.2882,2)</f>
        <v>368.16</v>
      </c>
      <c r="H78" s="509">
        <f>TRUNC(F78*E78,2)</f>
        <v>571.6</v>
      </c>
      <c r="I78" s="510">
        <f>TRUNC(E78*G78,2)</f>
        <v>736.32</v>
      </c>
    </row>
    <row r="79" spans="1:9" s="511" customFormat="1" ht="45">
      <c r="A79" s="513" t="s">
        <v>768</v>
      </c>
      <c r="B79" s="535" t="s">
        <v>912</v>
      </c>
      <c r="C79" s="536" t="s">
        <v>773</v>
      </c>
      <c r="D79" s="550" t="s">
        <v>142</v>
      </c>
      <c r="E79" s="551">
        <v>1.38</v>
      </c>
      <c r="F79" s="540">
        <f>MEMÓRIA!F475</f>
        <v>164.12</v>
      </c>
      <c r="G79" s="509">
        <f>TRUNC(F79*1.2882,2)</f>
        <v>211.41</v>
      </c>
      <c r="H79" s="509">
        <f>TRUNC(F79*E79,2)</f>
        <v>226.48</v>
      </c>
      <c r="I79" s="510">
        <f>TRUNC(E79*G79,2)</f>
        <v>291.74</v>
      </c>
    </row>
    <row r="80" spans="1:9" s="511" customFormat="1" ht="30">
      <c r="A80" s="513" t="s">
        <v>840</v>
      </c>
      <c r="B80" s="535" t="s">
        <v>774</v>
      </c>
      <c r="C80" s="536" t="s">
        <v>794</v>
      </c>
      <c r="D80" s="550" t="s">
        <v>148</v>
      </c>
      <c r="E80" s="551">
        <v>1</v>
      </c>
      <c r="F80" s="540">
        <f>MEMÓRIA!F483</f>
        <v>2311.41</v>
      </c>
      <c r="G80" s="509">
        <f>TRUNC(F80*1.2882,2)</f>
        <v>2977.55</v>
      </c>
      <c r="H80" s="509">
        <f>TRUNC(F80*E80,2)</f>
        <v>2311.41</v>
      </c>
      <c r="I80" s="510">
        <f>TRUNC(E80*G80,2)</f>
        <v>2977.55</v>
      </c>
    </row>
    <row r="81" spans="1:9" s="511" customFormat="1" ht="15.75">
      <c r="A81" s="513" t="s">
        <v>491</v>
      </c>
      <c r="B81" s="514"/>
      <c r="C81" s="515" t="s">
        <v>35</v>
      </c>
      <c r="D81" s="514"/>
      <c r="E81" s="515"/>
      <c r="F81" s="515"/>
      <c r="G81" s="515"/>
      <c r="H81" s="516">
        <f>SUM(H46:H80)</f>
        <v>26821.949999999993</v>
      </c>
      <c r="I81" s="516">
        <f>SUM(I46:I80)</f>
        <v>34550.340000000004</v>
      </c>
    </row>
    <row r="82" spans="1:9" s="503" customFormat="1" ht="15.75">
      <c r="A82" s="500" t="s">
        <v>36</v>
      </c>
      <c r="B82" s="535"/>
      <c r="C82" s="562" t="s">
        <v>10</v>
      </c>
      <c r="D82" s="563"/>
      <c r="E82" s="562"/>
      <c r="F82" s="540"/>
      <c r="G82" s="540"/>
      <c r="H82" s="540"/>
      <c r="I82" s="564"/>
    </row>
    <row r="83" spans="1:9" s="503" customFormat="1" ht="60">
      <c r="A83" s="513" t="s">
        <v>93</v>
      </c>
      <c r="B83" s="535" t="s">
        <v>845</v>
      </c>
      <c r="C83" s="526" t="s">
        <v>846</v>
      </c>
      <c r="D83" s="565" t="s">
        <v>148</v>
      </c>
      <c r="E83" s="510">
        <v>10</v>
      </c>
      <c r="F83" s="510">
        <f>MEMÓRIA!F500</f>
        <v>245.66</v>
      </c>
      <c r="G83" s="509">
        <f>TRUNC(F83*1.2882,2)</f>
        <v>316.45</v>
      </c>
      <c r="H83" s="509">
        <f>TRUNC(F83*E83,2)</f>
        <v>2456.6</v>
      </c>
      <c r="I83" s="510">
        <f>TRUNC(E83*G83,2)</f>
        <v>3164.5</v>
      </c>
    </row>
    <row r="84" spans="1:9" s="503" customFormat="1" ht="75">
      <c r="A84" s="513" t="s">
        <v>94</v>
      </c>
      <c r="B84" s="535" t="s">
        <v>847</v>
      </c>
      <c r="C84" s="526" t="s">
        <v>848</v>
      </c>
      <c r="D84" s="565" t="s">
        <v>148</v>
      </c>
      <c r="E84" s="510">
        <v>11</v>
      </c>
      <c r="F84" s="510">
        <f>MEMÓRIA!F515</f>
        <v>461.46</v>
      </c>
      <c r="G84" s="509">
        <f>TRUNC(F84*1.2882,2)</f>
        <v>594.45</v>
      </c>
      <c r="H84" s="509">
        <f>TRUNC(F84*E84,2)</f>
        <v>5076.06</v>
      </c>
      <c r="I84" s="510">
        <f>TRUNC(E84*G84,2)</f>
        <v>6538.95</v>
      </c>
    </row>
    <row r="85" spans="1:9" s="503" customFormat="1" ht="75">
      <c r="A85" s="513" t="s">
        <v>95</v>
      </c>
      <c r="B85" s="535" t="s">
        <v>849</v>
      </c>
      <c r="C85" s="526" t="s">
        <v>850</v>
      </c>
      <c r="D85" s="565" t="s">
        <v>148</v>
      </c>
      <c r="E85" s="510">
        <v>1</v>
      </c>
      <c r="F85" s="510">
        <f>MEMÓRIA!F530</f>
        <v>587.18</v>
      </c>
      <c r="G85" s="509">
        <f>TRUNC(F85*1.2882,2)</f>
        <v>756.4</v>
      </c>
      <c r="H85" s="509">
        <f>TRUNC(F85*E85,2)</f>
        <v>587.18</v>
      </c>
      <c r="I85" s="510">
        <f>TRUNC(E85*G85,2)</f>
        <v>756.4</v>
      </c>
    </row>
    <row r="86" spans="1:9" s="503" customFormat="1" ht="75">
      <c r="A86" s="513" t="s">
        <v>96</v>
      </c>
      <c r="B86" s="535" t="s">
        <v>851</v>
      </c>
      <c r="C86" s="526" t="s">
        <v>852</v>
      </c>
      <c r="D86" s="565" t="s">
        <v>148</v>
      </c>
      <c r="E86" s="510">
        <v>2</v>
      </c>
      <c r="F86" s="510">
        <f>MEMÓRIA!F545</f>
        <v>638.89</v>
      </c>
      <c r="G86" s="509">
        <f>TRUNC(F86*1.2882,2)</f>
        <v>823.01</v>
      </c>
      <c r="H86" s="509">
        <f>TRUNC(F86*E86,2)</f>
        <v>1277.78</v>
      </c>
      <c r="I86" s="510">
        <f>TRUNC(E86*G86,2)</f>
        <v>1646.02</v>
      </c>
    </row>
    <row r="87" spans="1:9" s="503" customFormat="1" ht="60">
      <c r="A87" s="513" t="s">
        <v>123</v>
      </c>
      <c r="B87" s="535" t="s">
        <v>611</v>
      </c>
      <c r="C87" s="526" t="s">
        <v>613</v>
      </c>
      <c r="D87" s="513" t="s">
        <v>148</v>
      </c>
      <c r="E87" s="544">
        <v>19</v>
      </c>
      <c r="F87" s="510">
        <f>MEMÓRIA!F560</f>
        <v>236.81</v>
      </c>
      <c r="G87" s="509">
        <f>TRUNC(F87*1.2882,2)</f>
        <v>305.05</v>
      </c>
      <c r="H87" s="509">
        <f>TRUNC(F87*E87,2)</f>
        <v>4499.39</v>
      </c>
      <c r="I87" s="510">
        <f>TRUNC(E87*G87,2)</f>
        <v>5795.95</v>
      </c>
    </row>
    <row r="88" spans="1:9" s="503" customFormat="1" ht="60">
      <c r="A88" s="513" t="s">
        <v>124</v>
      </c>
      <c r="B88" s="535" t="s">
        <v>855</v>
      </c>
      <c r="C88" s="526" t="s">
        <v>856</v>
      </c>
      <c r="D88" s="565" t="s">
        <v>148</v>
      </c>
      <c r="E88" s="510">
        <v>6</v>
      </c>
      <c r="F88" s="510">
        <f>MEMÓRIA!F574</f>
        <v>315.75</v>
      </c>
      <c r="G88" s="509">
        <f>TRUNC(F88*1.2882,2)</f>
        <v>406.74</v>
      </c>
      <c r="H88" s="509">
        <f>TRUNC(F88*E88,2)</f>
        <v>1894.5</v>
      </c>
      <c r="I88" s="510">
        <f>TRUNC(E88*G88,2)</f>
        <v>2440.44</v>
      </c>
    </row>
    <row r="89" spans="1:9" s="503" customFormat="1" ht="60">
      <c r="A89" s="513" t="s">
        <v>125</v>
      </c>
      <c r="B89" s="535" t="s">
        <v>857</v>
      </c>
      <c r="C89" s="526" t="s">
        <v>858</v>
      </c>
      <c r="D89" s="565" t="s">
        <v>148</v>
      </c>
      <c r="E89" s="510">
        <v>9</v>
      </c>
      <c r="F89" s="510">
        <f>MEMÓRIA!F588</f>
        <v>407.27</v>
      </c>
      <c r="G89" s="509">
        <f>TRUNC(F89*1.2882,2)</f>
        <v>524.64</v>
      </c>
      <c r="H89" s="509">
        <f>TRUNC(F89*E89,2)</f>
        <v>3665.43</v>
      </c>
      <c r="I89" s="510">
        <f>TRUNC(E89*G89,2)</f>
        <v>4721.76</v>
      </c>
    </row>
    <row r="90" spans="1:9" s="503" customFormat="1" ht="60">
      <c r="A90" s="513" t="s">
        <v>126</v>
      </c>
      <c r="B90" s="535" t="s">
        <v>859</v>
      </c>
      <c r="C90" s="526" t="s">
        <v>860</v>
      </c>
      <c r="D90" s="565" t="s">
        <v>148</v>
      </c>
      <c r="E90" s="510">
        <v>3</v>
      </c>
      <c r="F90" s="510">
        <f>MEMÓRIA!F602</f>
        <v>491.13</v>
      </c>
      <c r="G90" s="509">
        <f>TRUNC(F90*1.2882,2)</f>
        <v>632.67</v>
      </c>
      <c r="H90" s="509">
        <f>TRUNC(F90*E90,2)</f>
        <v>1473.39</v>
      </c>
      <c r="I90" s="510">
        <f>TRUNC(E90*G90,2)</f>
        <v>1898.01</v>
      </c>
    </row>
    <row r="91" spans="1:9" s="503" customFormat="1" ht="75">
      <c r="A91" s="513" t="s">
        <v>2</v>
      </c>
      <c r="B91" s="535" t="s">
        <v>880</v>
      </c>
      <c r="C91" s="526" t="s">
        <v>879</v>
      </c>
      <c r="D91" s="565" t="s">
        <v>148</v>
      </c>
      <c r="E91" s="510">
        <v>4</v>
      </c>
      <c r="F91" s="510">
        <f>MEMÓRIA!F616</f>
        <v>353.75</v>
      </c>
      <c r="G91" s="509">
        <f>TRUNC(F91*1.2882,2)</f>
        <v>455.7</v>
      </c>
      <c r="H91" s="509">
        <f>TRUNC(F91*E91,2)</f>
        <v>1415</v>
      </c>
      <c r="I91" s="510">
        <f>TRUNC(E91*G91,2)</f>
        <v>1822.8</v>
      </c>
    </row>
    <row r="92" spans="1:9" s="503" customFormat="1" ht="45">
      <c r="A92" s="513" t="s">
        <v>3</v>
      </c>
      <c r="B92" s="535" t="s">
        <v>884</v>
      </c>
      <c r="C92" s="526" t="s">
        <v>885</v>
      </c>
      <c r="D92" s="565" t="s">
        <v>148</v>
      </c>
      <c r="E92" s="510">
        <v>8</v>
      </c>
      <c r="F92" s="510">
        <f>MEMÓRIA!F641</f>
        <v>319.99</v>
      </c>
      <c r="G92" s="509">
        <f>TRUNC(F92*1.2882,2)</f>
        <v>412.21</v>
      </c>
      <c r="H92" s="509">
        <f>TRUNC(F92*E92,2)</f>
        <v>2559.92</v>
      </c>
      <c r="I92" s="510">
        <f>TRUNC(E92*G92,2)</f>
        <v>3297.68</v>
      </c>
    </row>
    <row r="93" spans="1:9" s="503" customFormat="1" ht="30">
      <c r="A93" s="513" t="s">
        <v>4</v>
      </c>
      <c r="B93" s="535" t="s">
        <v>442</v>
      </c>
      <c r="C93" s="526" t="s">
        <v>202</v>
      </c>
      <c r="D93" s="513" t="s">
        <v>148</v>
      </c>
      <c r="E93" s="544">
        <v>2</v>
      </c>
      <c r="F93" s="510">
        <f>TRUNC(MEMÓRIA!F651,2)</f>
        <v>303.97</v>
      </c>
      <c r="G93" s="509">
        <f>TRUNC(F93*1.2882,2)</f>
        <v>391.57</v>
      </c>
      <c r="H93" s="509">
        <f>TRUNC(F93*E93,2)</f>
        <v>607.94</v>
      </c>
      <c r="I93" s="510">
        <f>TRUNC(E93*G93,2)</f>
        <v>783.14</v>
      </c>
    </row>
    <row r="94" spans="1:9" s="503" customFormat="1" ht="45">
      <c r="A94" s="513" t="s">
        <v>5</v>
      </c>
      <c r="B94" s="535" t="s">
        <v>886</v>
      </c>
      <c r="C94" s="526" t="s">
        <v>887</v>
      </c>
      <c r="D94" s="513" t="s">
        <v>148</v>
      </c>
      <c r="E94" s="544">
        <v>37</v>
      </c>
      <c r="F94" s="510">
        <f>MEMÓRIA!F667</f>
        <v>114.94</v>
      </c>
      <c r="G94" s="509">
        <f>TRUNC(F94*1.2882,2)</f>
        <v>148.06</v>
      </c>
      <c r="H94" s="509">
        <f>TRUNC(F94*E94,2)</f>
        <v>4252.78</v>
      </c>
      <c r="I94" s="510">
        <f>TRUNC(E94*G94,2)</f>
        <v>5478.22</v>
      </c>
    </row>
    <row r="95" spans="1:9" s="503" customFormat="1" ht="30">
      <c r="A95" s="513" t="s">
        <v>6</v>
      </c>
      <c r="B95" s="535" t="s">
        <v>901</v>
      </c>
      <c r="C95" s="526" t="s">
        <v>898</v>
      </c>
      <c r="D95" s="513" t="s">
        <v>148</v>
      </c>
      <c r="E95" s="544">
        <v>6</v>
      </c>
      <c r="F95" s="510">
        <f>MEMÓRIA!F676</f>
        <v>63.56</v>
      </c>
      <c r="G95" s="509">
        <f>TRUNC(F95*1.2882,2)</f>
        <v>81.87</v>
      </c>
      <c r="H95" s="509">
        <f>TRUNC(F95*E95,2)</f>
        <v>381.36</v>
      </c>
      <c r="I95" s="510">
        <f>TRUNC(E95*G95,2)</f>
        <v>491.22</v>
      </c>
    </row>
    <row r="96" spans="1:9" s="503" customFormat="1" ht="30">
      <c r="A96" s="513" t="s">
        <v>7</v>
      </c>
      <c r="B96" s="535" t="s">
        <v>445</v>
      </c>
      <c r="C96" s="526" t="s">
        <v>358</v>
      </c>
      <c r="D96" s="565" t="s">
        <v>148</v>
      </c>
      <c r="E96" s="510">
        <v>10</v>
      </c>
      <c r="F96" s="510">
        <f>TRUNC(MEMÓRIA!F683,2)</f>
        <v>9.15</v>
      </c>
      <c r="G96" s="509">
        <f>TRUNC(F96*1.2882,2)</f>
        <v>11.78</v>
      </c>
      <c r="H96" s="509">
        <f>TRUNC(F96*E96,2)</f>
        <v>91.5</v>
      </c>
      <c r="I96" s="510">
        <f>TRUNC(E96*G96,2)</f>
        <v>117.8</v>
      </c>
    </row>
    <row r="97" spans="1:9" s="503" customFormat="1" ht="30">
      <c r="A97" s="513" t="s">
        <v>8</v>
      </c>
      <c r="B97" s="535" t="s">
        <v>446</v>
      </c>
      <c r="C97" s="526" t="s">
        <v>359</v>
      </c>
      <c r="D97" s="565" t="s">
        <v>148</v>
      </c>
      <c r="E97" s="510">
        <v>21</v>
      </c>
      <c r="F97" s="510">
        <f>MEMÓRIA!F687</f>
        <v>29.03</v>
      </c>
      <c r="G97" s="509">
        <f>TRUNC(F97*1.2882,2)</f>
        <v>37.39</v>
      </c>
      <c r="H97" s="509">
        <f>TRUNC(F97*E97,2)</f>
        <v>609.63</v>
      </c>
      <c r="I97" s="510">
        <f>TRUNC(E97*G97,2)</f>
        <v>785.19</v>
      </c>
    </row>
    <row r="98" spans="1:9" s="503" customFormat="1" ht="30">
      <c r="A98" s="513" t="s">
        <v>332</v>
      </c>
      <c r="B98" s="535" t="s">
        <v>614</v>
      </c>
      <c r="C98" s="526" t="s">
        <v>615</v>
      </c>
      <c r="D98" s="565" t="s">
        <v>148</v>
      </c>
      <c r="E98" s="510">
        <v>9</v>
      </c>
      <c r="F98" s="510">
        <f>MEMÓRIA!F691</f>
        <v>45.65</v>
      </c>
      <c r="G98" s="509">
        <f>TRUNC(F98*1.2882,2)</f>
        <v>58.8</v>
      </c>
      <c r="H98" s="509">
        <f>TRUNC(F98*E98,2)</f>
        <v>410.85</v>
      </c>
      <c r="I98" s="510">
        <f>TRUNC(E98*G98,2)</f>
        <v>529.2</v>
      </c>
    </row>
    <row r="99" spans="1:9" s="503" customFormat="1" ht="30">
      <c r="A99" s="513" t="s">
        <v>161</v>
      </c>
      <c r="B99" s="535" t="s">
        <v>447</v>
      </c>
      <c r="C99" s="526" t="s">
        <v>360</v>
      </c>
      <c r="D99" s="565" t="s">
        <v>148</v>
      </c>
      <c r="E99" s="510">
        <v>1</v>
      </c>
      <c r="F99" s="510">
        <f>TRUNC(MEMÓRIA!F697,2)</f>
        <v>90.46</v>
      </c>
      <c r="G99" s="509">
        <f>TRUNC(F99*1.2882,2)</f>
        <v>116.53</v>
      </c>
      <c r="H99" s="509">
        <f>TRUNC(F99*E99,2)</f>
        <v>90.46</v>
      </c>
      <c r="I99" s="510">
        <f>TRUNC(E99*G99,2)</f>
        <v>116.53</v>
      </c>
    </row>
    <row r="100" spans="1:9" s="503" customFormat="1" ht="45">
      <c r="A100" s="513" t="s">
        <v>626</v>
      </c>
      <c r="B100" s="535" t="s">
        <v>902</v>
      </c>
      <c r="C100" s="526" t="s">
        <v>903</v>
      </c>
      <c r="D100" s="565" t="s">
        <v>148</v>
      </c>
      <c r="E100" s="510">
        <v>1</v>
      </c>
      <c r="F100" s="510">
        <f>MEMÓRIA!F702</f>
        <v>234.23</v>
      </c>
      <c r="G100" s="509">
        <f>TRUNC(F100*1.2882,2)</f>
        <v>301.73</v>
      </c>
      <c r="H100" s="509">
        <f>TRUNC(F100*E100,2)</f>
        <v>234.23</v>
      </c>
      <c r="I100" s="510">
        <f>TRUNC(E100*G100,2)</f>
        <v>301.73</v>
      </c>
    </row>
    <row r="101" spans="1:9" s="503" customFormat="1" ht="60">
      <c r="A101" s="513" t="s">
        <v>627</v>
      </c>
      <c r="B101" s="535" t="s">
        <v>618</v>
      </c>
      <c r="C101" s="526" t="s">
        <v>619</v>
      </c>
      <c r="D101" s="565" t="s">
        <v>148</v>
      </c>
      <c r="E101" s="510">
        <v>1</v>
      </c>
      <c r="F101" s="510">
        <f>MEMÓRIA!F708</f>
        <v>271.65</v>
      </c>
      <c r="G101" s="509">
        <f>TRUNC(F101*1.2882,2)</f>
        <v>349.93</v>
      </c>
      <c r="H101" s="509">
        <f>TRUNC(F101*E101,2)</f>
        <v>271.65</v>
      </c>
      <c r="I101" s="510">
        <f>TRUNC(E101*G101,2)</f>
        <v>349.93</v>
      </c>
    </row>
    <row r="102" spans="1:9" s="503" customFormat="1" ht="60">
      <c r="A102" s="513" t="s">
        <v>630</v>
      </c>
      <c r="B102" s="535" t="s">
        <v>622</v>
      </c>
      <c r="C102" s="526" t="s">
        <v>623</v>
      </c>
      <c r="D102" s="565" t="s">
        <v>148</v>
      </c>
      <c r="E102" s="510">
        <v>1</v>
      </c>
      <c r="F102" s="510">
        <f>MEMÓRIA!F714</f>
        <v>314.57</v>
      </c>
      <c r="G102" s="509">
        <f>TRUNC(F102*1.2882,2)</f>
        <v>405.22</v>
      </c>
      <c r="H102" s="509">
        <f>TRUNC(F102*E102,2)</f>
        <v>314.57</v>
      </c>
      <c r="I102" s="510">
        <f>TRUNC(E102*G102,2)</f>
        <v>405.22</v>
      </c>
    </row>
    <row r="103" spans="1:9" s="503" customFormat="1" ht="75">
      <c r="A103" s="513" t="s">
        <v>631</v>
      </c>
      <c r="B103" s="535" t="s">
        <v>448</v>
      </c>
      <c r="C103" s="526" t="s">
        <v>361</v>
      </c>
      <c r="D103" s="565" t="s">
        <v>148</v>
      </c>
      <c r="E103" s="510">
        <v>1</v>
      </c>
      <c r="F103" s="510">
        <f>TRUNC(MEMÓRIA!F720,2)</f>
        <v>2241.06</v>
      </c>
      <c r="G103" s="509">
        <f>TRUNC(F103*1.2882,2)</f>
        <v>2886.93</v>
      </c>
      <c r="H103" s="509">
        <f>TRUNC(F103*E103,2)</f>
        <v>2241.06</v>
      </c>
      <c r="I103" s="510">
        <f>TRUNC(E103*G103,2)</f>
        <v>2886.93</v>
      </c>
    </row>
    <row r="104" spans="1:9" s="503" customFormat="1" ht="30">
      <c r="A104" s="513" t="s">
        <v>632</v>
      </c>
      <c r="B104" s="535" t="s">
        <v>465</v>
      </c>
      <c r="C104" s="526" t="s">
        <v>362</v>
      </c>
      <c r="D104" s="565" t="s">
        <v>148</v>
      </c>
      <c r="E104" s="510">
        <v>1</v>
      </c>
      <c r="F104" s="510">
        <f>TRUNC(MEMÓRIA!F746,2)</f>
        <v>170.11</v>
      </c>
      <c r="G104" s="509">
        <f>TRUNC(F104*1.2882,2)</f>
        <v>219.13</v>
      </c>
      <c r="H104" s="509">
        <f>TRUNC(F104*E104,2)</f>
        <v>170.11</v>
      </c>
      <c r="I104" s="510">
        <f>TRUNC(E104*G104,2)</f>
        <v>219.13</v>
      </c>
    </row>
    <row r="105" spans="1:9" s="503" customFormat="1" ht="45">
      <c r="A105" s="513" t="s">
        <v>633</v>
      </c>
      <c r="B105" s="535" t="s">
        <v>466</v>
      </c>
      <c r="C105" s="526" t="s">
        <v>363</v>
      </c>
      <c r="D105" s="565" t="s">
        <v>141</v>
      </c>
      <c r="E105" s="510">
        <v>20</v>
      </c>
      <c r="F105" s="510">
        <f>TRUNC(MEMÓRIA!F752,2)</f>
        <v>33.81</v>
      </c>
      <c r="G105" s="509">
        <f>TRUNC(F105*1.2882,2)</f>
        <v>43.55</v>
      </c>
      <c r="H105" s="509">
        <f>TRUNC(F105*E105,2)</f>
        <v>676.2</v>
      </c>
      <c r="I105" s="510">
        <f>TRUNC(E105*G105,2)</f>
        <v>871</v>
      </c>
    </row>
    <row r="106" spans="1:9" s="503" customFormat="1" ht="45">
      <c r="A106" s="513" t="s">
        <v>908</v>
      </c>
      <c r="B106" s="535" t="s">
        <v>841</v>
      </c>
      <c r="C106" s="526" t="s">
        <v>842</v>
      </c>
      <c r="D106" s="565" t="s">
        <v>141</v>
      </c>
      <c r="E106" s="510">
        <v>5</v>
      </c>
      <c r="F106" s="510">
        <f>MEMÓRIA!F758</f>
        <v>12.35</v>
      </c>
      <c r="G106" s="509">
        <f>TRUNC(F106*1.2882,2)</f>
        <v>15.9</v>
      </c>
      <c r="H106" s="509">
        <f>TRUNC(F106*E106,2)</f>
        <v>61.75</v>
      </c>
      <c r="I106" s="510">
        <f>TRUNC(E106*G106,2)</f>
        <v>79.5</v>
      </c>
    </row>
    <row r="107" spans="1:9" s="503" customFormat="1" ht="45">
      <c r="A107" s="513" t="s">
        <v>909</v>
      </c>
      <c r="B107" s="535" t="s">
        <v>628</v>
      </c>
      <c r="C107" s="526" t="s">
        <v>629</v>
      </c>
      <c r="D107" s="565" t="s">
        <v>148</v>
      </c>
      <c r="E107" s="510">
        <v>2</v>
      </c>
      <c r="F107" s="510">
        <f>MEMÓRIA!F764</f>
        <v>14.22</v>
      </c>
      <c r="G107" s="509">
        <f>TRUNC(F107*1.2882,2)</f>
        <v>18.31</v>
      </c>
      <c r="H107" s="509">
        <f>TRUNC(F107*E107,2)</f>
        <v>28.44</v>
      </c>
      <c r="I107" s="510">
        <f>TRUNC(E107*G107,2)</f>
        <v>36.62</v>
      </c>
    </row>
    <row r="108" spans="1:9" s="503" customFormat="1" ht="30">
      <c r="A108" s="513" t="s">
        <v>910</v>
      </c>
      <c r="B108" s="535" t="s">
        <v>634</v>
      </c>
      <c r="C108" s="526" t="s">
        <v>635</v>
      </c>
      <c r="D108" s="565" t="s">
        <v>148</v>
      </c>
      <c r="E108" s="510">
        <v>6</v>
      </c>
      <c r="F108" s="510">
        <f>MEMÓRIA!F769</f>
        <v>11.72</v>
      </c>
      <c r="G108" s="509">
        <f>TRUNC(F108*1.2882,2)</f>
        <v>15.09</v>
      </c>
      <c r="H108" s="509">
        <f>TRUNC(F108*E108,2)</f>
        <v>70.32</v>
      </c>
      <c r="I108" s="510">
        <f>TRUNC(E108*G108,2)</f>
        <v>90.54</v>
      </c>
    </row>
    <row r="109" spans="1:9" s="511" customFormat="1" ht="15.75">
      <c r="A109" s="513" t="s">
        <v>491</v>
      </c>
      <c r="B109" s="514"/>
      <c r="C109" s="515" t="s">
        <v>88</v>
      </c>
      <c r="D109" s="514"/>
      <c r="E109" s="515"/>
      <c r="F109" s="515"/>
      <c r="G109" s="515"/>
      <c r="H109" s="516">
        <f>SUM(H83:H108)</f>
        <v>35418.1</v>
      </c>
      <c r="I109" s="516">
        <f>SUM(I83:I108)</f>
        <v>45624.41</v>
      </c>
    </row>
    <row r="110" spans="1:9" s="503" customFormat="1" ht="15.75">
      <c r="A110" s="500" t="s">
        <v>37</v>
      </c>
      <c r="B110" s="535"/>
      <c r="C110" s="566" t="s">
        <v>56</v>
      </c>
      <c r="D110" s="514"/>
      <c r="E110" s="566"/>
      <c r="F110" s="566"/>
      <c r="G110" s="566"/>
      <c r="H110" s="566"/>
      <c r="I110" s="566"/>
    </row>
    <row r="111" spans="1:9" s="503" customFormat="1" ht="45">
      <c r="A111" s="513" t="s">
        <v>127</v>
      </c>
      <c r="B111" s="535" t="s">
        <v>470</v>
      </c>
      <c r="C111" s="536" t="s">
        <v>546</v>
      </c>
      <c r="D111" s="513" t="s">
        <v>148</v>
      </c>
      <c r="E111" s="510">
        <v>7</v>
      </c>
      <c r="F111" s="510">
        <f>TRUNC(MEMÓRIA!F776,2)</f>
        <v>401.63</v>
      </c>
      <c r="G111" s="558">
        <f>TRUNC(F111*1.2882,2)</f>
        <v>517.37</v>
      </c>
      <c r="H111" s="558">
        <f>TRUNC(F111*E111,2)</f>
        <v>2811.41</v>
      </c>
      <c r="I111" s="559">
        <f>TRUNC(E111*G111,2)</f>
        <v>3621.59</v>
      </c>
    </row>
    <row r="112" spans="1:9" s="503" customFormat="1" ht="45">
      <c r="A112" s="513" t="s">
        <v>59</v>
      </c>
      <c r="B112" s="535" t="s">
        <v>455</v>
      </c>
      <c r="C112" s="536" t="s">
        <v>547</v>
      </c>
      <c r="D112" s="513" t="s">
        <v>148</v>
      </c>
      <c r="E112" s="510">
        <v>1</v>
      </c>
      <c r="F112" s="510">
        <f>TRUNC(MEMÓRIA!F785,2)</f>
        <v>396.81</v>
      </c>
      <c r="G112" s="558">
        <f>TRUNC(F112*1.2882,2)</f>
        <v>511.17</v>
      </c>
      <c r="H112" s="558">
        <f>TRUNC(F112*E112,2)</f>
        <v>396.81</v>
      </c>
      <c r="I112" s="559">
        <f>TRUNC(E112*G112,2)</f>
        <v>511.17</v>
      </c>
    </row>
    <row r="113" spans="1:9" s="503" customFormat="1" ht="45">
      <c r="A113" s="513" t="s">
        <v>60</v>
      </c>
      <c r="B113" s="535" t="s">
        <v>458</v>
      </c>
      <c r="C113" s="536" t="s">
        <v>548</v>
      </c>
      <c r="D113" s="513" t="s">
        <v>148</v>
      </c>
      <c r="E113" s="510">
        <v>9</v>
      </c>
      <c r="F113" s="510">
        <f>TRUNC(MEMÓRIA!F794,2)</f>
        <v>426.7</v>
      </c>
      <c r="G113" s="558">
        <f>TRUNC(F113*1.2882,2)</f>
        <v>549.67</v>
      </c>
      <c r="H113" s="558">
        <f>TRUNC(F113*E113,2)</f>
        <v>3840.3</v>
      </c>
      <c r="I113" s="559">
        <f>TRUNC(E113*G113,2)</f>
        <v>4947.03</v>
      </c>
    </row>
    <row r="114" spans="1:9" s="503" customFormat="1" ht="60">
      <c r="A114" s="513" t="s">
        <v>61</v>
      </c>
      <c r="B114" s="535" t="s">
        <v>551</v>
      </c>
      <c r="C114" s="536" t="s">
        <v>552</v>
      </c>
      <c r="D114" s="513" t="s">
        <v>142</v>
      </c>
      <c r="E114" s="510">
        <f>1*2.1*3</f>
        <v>6.300000000000001</v>
      </c>
      <c r="F114" s="510">
        <f>TRUNC(MEMÓRIA!F803,2)</f>
        <v>695.09</v>
      </c>
      <c r="G114" s="558">
        <f>TRUNC(F114*1.2882,2)</f>
        <v>895.41</v>
      </c>
      <c r="H114" s="558">
        <f>TRUNC(F114*E114,2)</f>
        <v>4379.06</v>
      </c>
      <c r="I114" s="559">
        <f>TRUNC(E114*G114,2)</f>
        <v>5641.08</v>
      </c>
    </row>
    <row r="115" spans="1:9" s="503" customFormat="1" ht="75">
      <c r="A115" s="513" t="s">
        <v>742</v>
      </c>
      <c r="B115" s="535" t="s">
        <v>527</v>
      </c>
      <c r="C115" s="536" t="s">
        <v>528</v>
      </c>
      <c r="D115" s="513" t="s">
        <v>148</v>
      </c>
      <c r="E115" s="510">
        <v>1</v>
      </c>
      <c r="F115" s="510">
        <f>TRUNC(MEMÓRIA!F808,2)</f>
        <v>101.2</v>
      </c>
      <c r="G115" s="558">
        <f>TRUNC(F115*1.2882,2)</f>
        <v>130.36</v>
      </c>
      <c r="H115" s="558">
        <f>TRUNC(F115*E115,2)</f>
        <v>101.2</v>
      </c>
      <c r="I115" s="559">
        <f>TRUNC(E115*G115,2)</f>
        <v>130.36</v>
      </c>
    </row>
    <row r="116" spans="1:9" s="503" customFormat="1" ht="30">
      <c r="A116" s="513" t="s">
        <v>62</v>
      </c>
      <c r="B116" s="535" t="s">
        <v>738</v>
      </c>
      <c r="C116" s="536" t="s">
        <v>737</v>
      </c>
      <c r="D116" s="513" t="s">
        <v>142</v>
      </c>
      <c r="E116" s="510">
        <v>4.2</v>
      </c>
      <c r="F116" s="510">
        <f>TRUNC(MEMÓRIA!F811,2)</f>
        <v>437.03</v>
      </c>
      <c r="G116" s="558">
        <f>TRUNC(F116*1.2882,2)</f>
        <v>562.98</v>
      </c>
      <c r="H116" s="558">
        <f>TRUNC(F116*E116,2)</f>
        <v>1835.52</v>
      </c>
      <c r="I116" s="559">
        <f>TRUNC(E116*G116,2)</f>
        <v>2364.51</v>
      </c>
    </row>
    <row r="117" spans="1:9" s="503" customFormat="1" ht="75">
      <c r="A117" s="513" t="s">
        <v>188</v>
      </c>
      <c r="B117" s="535" t="s">
        <v>459</v>
      </c>
      <c r="C117" s="536" t="s">
        <v>549</v>
      </c>
      <c r="D117" s="513" t="s">
        <v>148</v>
      </c>
      <c r="E117" s="510">
        <v>15</v>
      </c>
      <c r="F117" s="510">
        <f>TRUNC(MEMÓRIA!F819,2)</f>
        <v>297.9</v>
      </c>
      <c r="G117" s="558">
        <f>TRUNC(F117*1.2882,2)</f>
        <v>383.75</v>
      </c>
      <c r="H117" s="558">
        <f>TRUNC(F117*E117,2)</f>
        <v>4468.5</v>
      </c>
      <c r="I117" s="559">
        <f>TRUNC(E117*G117,2)</f>
        <v>5756.25</v>
      </c>
    </row>
    <row r="118" spans="1:9" s="503" customFormat="1" ht="75">
      <c r="A118" s="513" t="s">
        <v>189</v>
      </c>
      <c r="B118" s="535" t="s">
        <v>460</v>
      </c>
      <c r="C118" s="536" t="s">
        <v>553</v>
      </c>
      <c r="D118" s="513" t="s">
        <v>148</v>
      </c>
      <c r="E118" s="510">
        <v>5</v>
      </c>
      <c r="F118" s="510">
        <f>TRUNC(MEMÓRIA!F823,2)</f>
        <v>278.53</v>
      </c>
      <c r="G118" s="558">
        <f>TRUNC(F118*1.2882,2)</f>
        <v>358.8</v>
      </c>
      <c r="H118" s="558">
        <f>TRUNC(F118*E118,2)</f>
        <v>1392.65</v>
      </c>
      <c r="I118" s="559">
        <f>TRUNC(E118*G118,2)</f>
        <v>1794</v>
      </c>
    </row>
    <row r="119" spans="1:9" s="503" customFormat="1" ht="30.75">
      <c r="A119" s="513" t="s">
        <v>190</v>
      </c>
      <c r="B119" s="535" t="s">
        <v>739</v>
      </c>
      <c r="C119" s="536" t="s">
        <v>998</v>
      </c>
      <c r="D119" s="513" t="s">
        <v>148</v>
      </c>
      <c r="E119" s="510">
        <v>1</v>
      </c>
      <c r="F119" s="510">
        <f>TRUNC(MEMÓRIA!F827,2)</f>
        <v>245.19</v>
      </c>
      <c r="G119" s="558">
        <f>TRUNC(F119*1.2882,2)</f>
        <v>315.85</v>
      </c>
      <c r="H119" s="558">
        <f>TRUNC(F119*E119,2)</f>
        <v>245.19</v>
      </c>
      <c r="I119" s="559">
        <f>TRUNC(E119*G119,2)</f>
        <v>315.85</v>
      </c>
    </row>
    <row r="120" spans="1:9" s="503" customFormat="1" ht="45.75">
      <c r="A120" s="513" t="s">
        <v>191</v>
      </c>
      <c r="B120" s="535" t="s">
        <v>726</v>
      </c>
      <c r="C120" s="536" t="s">
        <v>999</v>
      </c>
      <c r="D120" s="513" t="s">
        <v>148</v>
      </c>
      <c r="E120" s="510">
        <v>8</v>
      </c>
      <c r="F120" s="510">
        <f>TRUNC(MEMÓRIA!F833,2)</f>
        <v>305.09</v>
      </c>
      <c r="G120" s="558">
        <f>TRUNC(F120*1.2882,2)</f>
        <v>393.01</v>
      </c>
      <c r="H120" s="558">
        <f>TRUNC(F120*E120,2)</f>
        <v>2440.72</v>
      </c>
      <c r="I120" s="559">
        <f>TRUNC(E120*G120,2)</f>
        <v>3144.08</v>
      </c>
    </row>
    <row r="121" spans="1:9" s="503" customFormat="1" ht="30.75">
      <c r="A121" s="513" t="s">
        <v>192</v>
      </c>
      <c r="B121" s="535" t="s">
        <v>293</v>
      </c>
      <c r="C121" s="536" t="s">
        <v>1000</v>
      </c>
      <c r="D121" s="513" t="s">
        <v>148</v>
      </c>
      <c r="E121" s="510">
        <v>6</v>
      </c>
      <c r="F121" s="510">
        <f>TRUNC(MEMÓRIA!F839,2)</f>
        <v>602.67</v>
      </c>
      <c r="G121" s="558">
        <f>TRUNC(F121*1.2882,2)</f>
        <v>776.35</v>
      </c>
      <c r="H121" s="558">
        <f>TRUNC(F121*E121,2)</f>
        <v>3616.02</v>
      </c>
      <c r="I121" s="559">
        <f>TRUNC(E121*G121,2)</f>
        <v>4658.1</v>
      </c>
    </row>
    <row r="122" spans="1:9" s="511" customFormat="1" ht="15.75">
      <c r="A122" s="513" t="s">
        <v>491</v>
      </c>
      <c r="B122" s="514"/>
      <c r="C122" s="515" t="s">
        <v>193</v>
      </c>
      <c r="D122" s="514"/>
      <c r="E122" s="515"/>
      <c r="F122" s="515"/>
      <c r="G122" s="515"/>
      <c r="H122" s="516">
        <f>SUM(H111:H121)</f>
        <v>25527.380000000005</v>
      </c>
      <c r="I122" s="516">
        <f>SUM(I111:I121)</f>
        <v>32884.02</v>
      </c>
    </row>
    <row r="123" spans="1:9" s="503" customFormat="1" ht="15.75">
      <c r="A123" s="500" t="s">
        <v>128</v>
      </c>
      <c r="B123" s="535"/>
      <c r="C123" s="566" t="s">
        <v>52</v>
      </c>
      <c r="D123" s="514"/>
      <c r="E123" s="566"/>
      <c r="F123" s="566"/>
      <c r="G123" s="566"/>
      <c r="H123" s="566"/>
      <c r="I123" s="566"/>
    </row>
    <row r="124" spans="1:9" s="503" customFormat="1" ht="75.75">
      <c r="A124" s="513" t="s">
        <v>129</v>
      </c>
      <c r="B124" s="535" t="s">
        <v>471</v>
      </c>
      <c r="C124" s="536" t="s">
        <v>1001</v>
      </c>
      <c r="D124" s="567" t="s">
        <v>142</v>
      </c>
      <c r="E124" s="510">
        <v>569.29</v>
      </c>
      <c r="F124" s="510">
        <f>TRUNC(MEMÓRIA!F847,2)</f>
        <v>13.86</v>
      </c>
      <c r="G124" s="509">
        <f>TRUNC(F124*1.2882,2)</f>
        <v>17.85</v>
      </c>
      <c r="H124" s="509">
        <f>TRUNC(F124*E124,2)</f>
        <v>7890.35</v>
      </c>
      <c r="I124" s="510">
        <f>TRUNC(E124*G124,2)</f>
        <v>10161.82</v>
      </c>
    </row>
    <row r="125" spans="1:9" s="503" customFormat="1" ht="75">
      <c r="A125" s="513" t="s">
        <v>130</v>
      </c>
      <c r="B125" s="568" t="s">
        <v>474</v>
      </c>
      <c r="C125" s="506" t="s">
        <v>187</v>
      </c>
      <c r="D125" s="567" t="s">
        <v>142</v>
      </c>
      <c r="E125" s="508">
        <v>103.32</v>
      </c>
      <c r="F125" s="510">
        <f>TRUNC(MEMÓRIA!F854,2)</f>
        <v>44.96</v>
      </c>
      <c r="G125" s="509">
        <f>TRUNC(F125*1.2882,2)</f>
        <v>57.91</v>
      </c>
      <c r="H125" s="509">
        <f>TRUNC(F125*E125,2)</f>
        <v>4645.26</v>
      </c>
      <c r="I125" s="510">
        <f>TRUNC(E125*G125,2)</f>
        <v>5983.26</v>
      </c>
    </row>
    <row r="126" spans="1:9" s="503" customFormat="1" ht="30">
      <c r="A126" s="513" t="s">
        <v>131</v>
      </c>
      <c r="B126" s="568" t="s">
        <v>477</v>
      </c>
      <c r="C126" s="506" t="s">
        <v>369</v>
      </c>
      <c r="D126" s="567" t="s">
        <v>142</v>
      </c>
      <c r="E126" s="509">
        <v>16.07</v>
      </c>
      <c r="F126" s="510">
        <f>TRUNC(MEMÓRIA!F869,2)</f>
        <v>12.26</v>
      </c>
      <c r="G126" s="509">
        <f>TRUNC(F126*1.2882,2)</f>
        <v>15.79</v>
      </c>
      <c r="H126" s="509">
        <f>TRUNC(F126*E126,2)</f>
        <v>197.01</v>
      </c>
      <c r="I126" s="510">
        <f>TRUNC(E126*G126,2)</f>
        <v>253.74</v>
      </c>
    </row>
    <row r="127" spans="1:9" s="503" customFormat="1" ht="75.75">
      <c r="A127" s="513" t="s">
        <v>132</v>
      </c>
      <c r="B127" s="568" t="s">
        <v>478</v>
      </c>
      <c r="C127" s="506" t="s">
        <v>1002</v>
      </c>
      <c r="D127" s="567" t="s">
        <v>142</v>
      </c>
      <c r="E127" s="508">
        <v>294</v>
      </c>
      <c r="F127" s="510">
        <f>TRUNC(MEMÓRIA!F876,2)</f>
        <v>48.53</v>
      </c>
      <c r="G127" s="509">
        <f>TRUNC(F127*1.2882,2)</f>
        <v>62.51</v>
      </c>
      <c r="H127" s="509">
        <f>TRUNC(F127*E127,2)</f>
        <v>14267.82</v>
      </c>
      <c r="I127" s="510">
        <f>TRUNC(E127*G127,2)</f>
        <v>18377.94</v>
      </c>
    </row>
    <row r="128" spans="1:9" s="503" customFormat="1" ht="75.75">
      <c r="A128" s="513" t="s">
        <v>65</v>
      </c>
      <c r="B128" s="535" t="s">
        <v>471</v>
      </c>
      <c r="C128" s="536" t="s">
        <v>1003</v>
      </c>
      <c r="D128" s="567" t="s">
        <v>142</v>
      </c>
      <c r="E128" s="510">
        <v>341.88</v>
      </c>
      <c r="F128" s="510">
        <f>TRUNC(MEMÓRIA!F891,2)</f>
        <v>13.59</v>
      </c>
      <c r="G128" s="509">
        <f>TRUNC(F128*1.2882,2)</f>
        <v>17.5</v>
      </c>
      <c r="H128" s="509">
        <f>TRUNC(F128*E128,2)</f>
        <v>4646.14</v>
      </c>
      <c r="I128" s="510">
        <f>TRUNC(E128*G128,2)</f>
        <v>5982.9</v>
      </c>
    </row>
    <row r="129" spans="1:9" s="503" customFormat="1" ht="45.75">
      <c r="A129" s="513" t="s">
        <v>303</v>
      </c>
      <c r="B129" s="535" t="s">
        <v>471</v>
      </c>
      <c r="C129" s="536" t="s">
        <v>1004</v>
      </c>
      <c r="D129" s="567" t="s">
        <v>142</v>
      </c>
      <c r="E129" s="510">
        <v>87.57</v>
      </c>
      <c r="F129" s="510">
        <f>TRUNC(MEMÓRIA!F898,2)</f>
        <v>12.2</v>
      </c>
      <c r="G129" s="509">
        <f>TRUNC(F129*1.2882,2)</f>
        <v>15.71</v>
      </c>
      <c r="H129" s="509">
        <f>TRUNC(F129*E129,2)</f>
        <v>1068.35</v>
      </c>
      <c r="I129" s="510">
        <f>TRUNC(E129*G129,2)</f>
        <v>1375.72</v>
      </c>
    </row>
    <row r="130" spans="1:9" s="503" customFormat="1" ht="45">
      <c r="A130" s="513" t="s">
        <v>500</v>
      </c>
      <c r="B130" s="535" t="s">
        <v>501</v>
      </c>
      <c r="C130" s="536" t="s">
        <v>502</v>
      </c>
      <c r="D130" s="567" t="s">
        <v>503</v>
      </c>
      <c r="E130" s="510">
        <v>20</v>
      </c>
      <c r="F130" s="510">
        <f>TRUNC(MEMÓRIA!F904,2)</f>
        <v>8</v>
      </c>
      <c r="G130" s="509">
        <f>TRUNC(F130*1.2882,2)</f>
        <v>10.3</v>
      </c>
      <c r="H130" s="509">
        <f>TRUNC(F130*E130,2)</f>
        <v>160</v>
      </c>
      <c r="I130" s="510">
        <f>TRUNC(E130*G130,2)</f>
        <v>206</v>
      </c>
    </row>
    <row r="131" spans="1:12" s="503" customFormat="1" ht="45">
      <c r="A131" s="513" t="s">
        <v>506</v>
      </c>
      <c r="B131" s="535" t="s">
        <v>507</v>
      </c>
      <c r="C131" s="536" t="s">
        <v>508</v>
      </c>
      <c r="D131" s="567" t="s">
        <v>509</v>
      </c>
      <c r="E131" s="510">
        <v>500</v>
      </c>
      <c r="F131" s="510">
        <f>TRUNC(MEMÓRIA!F907,2)</f>
        <v>0.11</v>
      </c>
      <c r="G131" s="509">
        <f>TRUNC(F131*1.2882,2)</f>
        <v>0.14</v>
      </c>
      <c r="H131" s="509">
        <f>TRUNC(F131*E131,2)</f>
        <v>55</v>
      </c>
      <c r="I131" s="510">
        <f>TRUNC(E131*G131,2)</f>
        <v>70</v>
      </c>
      <c r="L131" s="503">
        <f>9.45*6</f>
        <v>56.699999999999996</v>
      </c>
    </row>
    <row r="132" spans="1:9" s="503" customFormat="1" ht="45">
      <c r="A132" s="513" t="s">
        <v>523</v>
      </c>
      <c r="B132" s="535" t="s">
        <v>512</v>
      </c>
      <c r="C132" s="536" t="s">
        <v>513</v>
      </c>
      <c r="D132" s="567" t="s">
        <v>142</v>
      </c>
      <c r="E132" s="510">
        <v>50</v>
      </c>
      <c r="F132" s="510">
        <f>MEMÓRIA!F910</f>
        <v>0.63</v>
      </c>
      <c r="G132" s="509">
        <f>TRUNC(F132*1.2882,2)</f>
        <v>0.81</v>
      </c>
      <c r="H132" s="509">
        <f>TRUNC(F132*E132,2)</f>
        <v>31.5</v>
      </c>
      <c r="I132" s="510">
        <f>TRUNC(E132*G132,2)</f>
        <v>40.5</v>
      </c>
    </row>
    <row r="133" spans="1:9" s="503" customFormat="1" ht="30">
      <c r="A133" s="513" t="s">
        <v>524</v>
      </c>
      <c r="B133" s="535" t="s">
        <v>516</v>
      </c>
      <c r="C133" s="536" t="s">
        <v>517</v>
      </c>
      <c r="D133" s="567" t="s">
        <v>142</v>
      </c>
      <c r="E133" s="510">
        <v>50</v>
      </c>
      <c r="F133" s="510">
        <f>MEMÓRIA!F914</f>
        <v>5.38</v>
      </c>
      <c r="G133" s="509">
        <f>TRUNC(F133*1.2882,2)</f>
        <v>6.93</v>
      </c>
      <c r="H133" s="509">
        <f>TRUNC(F133*E133,2)</f>
        <v>269</v>
      </c>
      <c r="I133" s="510">
        <f>TRUNC(E133*G133,2)</f>
        <v>346.5</v>
      </c>
    </row>
    <row r="134" spans="1:9" s="503" customFormat="1" ht="45">
      <c r="A134" s="513" t="s">
        <v>525</v>
      </c>
      <c r="B134" s="535" t="s">
        <v>518</v>
      </c>
      <c r="C134" s="536" t="s">
        <v>519</v>
      </c>
      <c r="D134" s="567" t="s">
        <v>142</v>
      </c>
      <c r="E134" s="510">
        <v>18</v>
      </c>
      <c r="F134" s="510">
        <f>MEMÓRIA!F917</f>
        <v>2.99</v>
      </c>
      <c r="G134" s="509">
        <f>TRUNC(F134*1.2882,2)</f>
        <v>3.85</v>
      </c>
      <c r="H134" s="509">
        <f>TRUNC(F134*E134,2)</f>
        <v>53.82</v>
      </c>
      <c r="I134" s="510">
        <f>TRUNC(E134*G134,2)</f>
        <v>69.3</v>
      </c>
    </row>
    <row r="135" spans="1:9" s="503" customFormat="1" ht="30">
      <c r="A135" s="513" t="s">
        <v>526</v>
      </c>
      <c r="B135" s="535" t="s">
        <v>521</v>
      </c>
      <c r="C135" s="536" t="s">
        <v>522</v>
      </c>
      <c r="D135" s="567" t="s">
        <v>142</v>
      </c>
      <c r="E135" s="510">
        <v>18</v>
      </c>
      <c r="F135" s="510">
        <f>MEMÓRIA!F920</f>
        <v>0.44</v>
      </c>
      <c r="G135" s="509">
        <f>TRUNC(F135*1.2882,2)</f>
        <v>0.56</v>
      </c>
      <c r="H135" s="509">
        <f>TRUNC(F135*E135,2)</f>
        <v>7.92</v>
      </c>
      <c r="I135" s="510">
        <f>TRUNC(E135*G135,2)</f>
        <v>10.08</v>
      </c>
    </row>
    <row r="136" spans="1:9" s="511" customFormat="1" ht="15.75">
      <c r="A136" s="513" t="s">
        <v>491</v>
      </c>
      <c r="B136" s="514"/>
      <c r="C136" s="515" t="s">
        <v>133</v>
      </c>
      <c r="D136" s="514"/>
      <c r="E136" s="515"/>
      <c r="F136" s="515"/>
      <c r="G136" s="515"/>
      <c r="H136" s="516">
        <f>SUM(H124:H135)</f>
        <v>33292.17</v>
      </c>
      <c r="I136" s="516">
        <f>SUM(I124:I135)</f>
        <v>42877.76</v>
      </c>
    </row>
    <row r="137" spans="1:9" s="503" customFormat="1" ht="15.75">
      <c r="A137" s="500" t="s">
        <v>50</v>
      </c>
      <c r="B137" s="535"/>
      <c r="C137" s="566" t="s">
        <v>796</v>
      </c>
      <c r="D137" s="514"/>
      <c r="E137" s="566"/>
      <c r="F137" s="566"/>
      <c r="G137" s="566"/>
      <c r="H137" s="566"/>
      <c r="I137" s="569"/>
    </row>
    <row r="138" spans="1:9" s="503" customFormat="1" ht="45">
      <c r="A138" s="513" t="s">
        <v>984</v>
      </c>
      <c r="B138" s="501" t="s">
        <v>480</v>
      </c>
      <c r="C138" s="542" t="s">
        <v>576</v>
      </c>
      <c r="D138" s="513" t="s">
        <v>142</v>
      </c>
      <c r="E138" s="544">
        <f>E139</f>
        <v>170.38</v>
      </c>
      <c r="F138" s="510">
        <f>TRUNC(MEMÓRIA!F925,2)</f>
        <v>26.63</v>
      </c>
      <c r="G138" s="509">
        <f>TRUNC(F138*1.2882,2)</f>
        <v>34.3</v>
      </c>
      <c r="H138" s="509">
        <f>TRUNC(F138*E138,2)</f>
        <v>4537.21</v>
      </c>
      <c r="I138" s="510">
        <f>TRUNC(E138*G138,2)</f>
        <v>5844.03</v>
      </c>
    </row>
    <row r="139" spans="1:9" s="503" customFormat="1" ht="45">
      <c r="A139" s="513" t="s">
        <v>985</v>
      </c>
      <c r="B139" s="501" t="s">
        <v>481</v>
      </c>
      <c r="C139" s="542" t="s">
        <v>370</v>
      </c>
      <c r="D139" s="513" t="s">
        <v>142</v>
      </c>
      <c r="E139" s="544">
        <v>170.38</v>
      </c>
      <c r="F139" s="510">
        <f>TRUNC(MEMÓRIA!F932,2)</f>
        <v>45.63</v>
      </c>
      <c r="G139" s="509">
        <f>TRUNC(F139*1.2882,2)</f>
        <v>58.78</v>
      </c>
      <c r="H139" s="509">
        <f>TRUNC(F139*E139,2)</f>
        <v>7774.43</v>
      </c>
      <c r="I139" s="510">
        <f>TRUNC(E139*G139,2)</f>
        <v>10014.93</v>
      </c>
    </row>
    <row r="140" spans="1:9" s="503" customFormat="1" ht="60">
      <c r="A140" s="513" t="s">
        <v>986</v>
      </c>
      <c r="B140" s="501" t="s">
        <v>482</v>
      </c>
      <c r="C140" s="542" t="s">
        <v>371</v>
      </c>
      <c r="D140" s="513" t="s">
        <v>141</v>
      </c>
      <c r="E140" s="544">
        <v>11</v>
      </c>
      <c r="F140" s="510">
        <f>TRUNC(MEMÓRIA!F941,2)</f>
        <v>39.25</v>
      </c>
      <c r="G140" s="509">
        <f>TRUNC(F140*1.2882,2)</f>
        <v>50.56</v>
      </c>
      <c r="H140" s="509">
        <f>TRUNC(F140*E140,2)</f>
        <v>431.75</v>
      </c>
      <c r="I140" s="510">
        <f>TRUNC(E140*G140,2)</f>
        <v>556.16</v>
      </c>
    </row>
    <row r="141" spans="1:9" s="503" customFormat="1" ht="75">
      <c r="A141" s="513" t="s">
        <v>987</v>
      </c>
      <c r="B141" s="501" t="s">
        <v>797</v>
      </c>
      <c r="C141" s="542" t="s">
        <v>798</v>
      </c>
      <c r="D141" s="513" t="s">
        <v>142</v>
      </c>
      <c r="E141" s="544">
        <v>170.38</v>
      </c>
      <c r="F141" s="510">
        <f>TRUNC(MEMÓRIA!F949,2)</f>
        <v>83.41</v>
      </c>
      <c r="G141" s="509">
        <f>TRUNC(F141*1.2882,2)</f>
        <v>107.44</v>
      </c>
      <c r="H141" s="509">
        <f>TRUNC(F141*E141,2)</f>
        <v>14211.39</v>
      </c>
      <c r="I141" s="510">
        <f>TRUNC(E141*G141,2)</f>
        <v>18305.62</v>
      </c>
    </row>
    <row r="142" spans="1:9" s="511" customFormat="1" ht="15.75">
      <c r="A142" s="513" t="s">
        <v>491</v>
      </c>
      <c r="B142" s="514"/>
      <c r="C142" s="515" t="s">
        <v>308</v>
      </c>
      <c r="D142" s="514"/>
      <c r="E142" s="515"/>
      <c r="F142" s="515"/>
      <c r="G142" s="515"/>
      <c r="H142" s="516">
        <f>SUM(H138:H141)</f>
        <v>26954.78</v>
      </c>
      <c r="I142" s="516">
        <f>SUM(I138:I141)</f>
        <v>34720.74</v>
      </c>
    </row>
    <row r="143" spans="1:9" s="503" customFormat="1" ht="15.75">
      <c r="A143" s="500" t="s">
        <v>12</v>
      </c>
      <c r="B143" s="535"/>
      <c r="C143" s="566" t="s">
        <v>46</v>
      </c>
      <c r="D143" s="514"/>
      <c r="E143" s="566"/>
      <c r="F143" s="566"/>
      <c r="G143" s="566"/>
      <c r="H143" s="566"/>
      <c r="I143" s="569"/>
    </row>
    <row r="144" spans="1:9" s="503" customFormat="1" ht="60">
      <c r="A144" s="513" t="s">
        <v>121</v>
      </c>
      <c r="B144" s="501" t="s">
        <v>483</v>
      </c>
      <c r="C144" s="542" t="s">
        <v>319</v>
      </c>
      <c r="D144" s="513" t="s">
        <v>148</v>
      </c>
      <c r="E144" s="544">
        <v>21</v>
      </c>
      <c r="F144" s="510">
        <f>TRUNC(MEMÓRIA!F959,2)</f>
        <v>238.08</v>
      </c>
      <c r="G144" s="509">
        <f>TRUNC(F144*1.2882,2)</f>
        <v>306.69</v>
      </c>
      <c r="H144" s="509">
        <f>TRUNC(F144*E144,2)</f>
        <v>4999.68</v>
      </c>
      <c r="I144" s="510">
        <f>TRUNC(E144*G144,2)</f>
        <v>6440.49</v>
      </c>
    </row>
    <row r="145" spans="1:9" s="503" customFormat="1" ht="60">
      <c r="A145" s="513" t="s">
        <v>122</v>
      </c>
      <c r="B145" s="501" t="s">
        <v>807</v>
      </c>
      <c r="C145" s="542" t="s">
        <v>808</v>
      </c>
      <c r="D145" s="513" t="s">
        <v>809</v>
      </c>
      <c r="E145" s="544">
        <v>54</v>
      </c>
      <c r="F145" s="510">
        <f>TRUNC(MEMÓRIA!F964,2)</f>
        <v>71.13</v>
      </c>
      <c r="G145" s="509">
        <f>TRUNC(F145*1.2882,2)</f>
        <v>91.62</v>
      </c>
      <c r="H145" s="509">
        <f>TRUNC(F145*E145,2)</f>
        <v>3841.02</v>
      </c>
      <c r="I145" s="510">
        <f>TRUNC(E145*G145,2)</f>
        <v>4947.48</v>
      </c>
    </row>
    <row r="146" spans="1:9" s="503" customFormat="1" ht="31.5">
      <c r="A146" s="513" t="s">
        <v>53</v>
      </c>
      <c r="B146" s="501" t="s">
        <v>814</v>
      </c>
      <c r="C146" s="542" t="s">
        <v>1005</v>
      </c>
      <c r="D146" s="513" t="s">
        <v>268</v>
      </c>
      <c r="E146" s="544">
        <f>E145*12.5</f>
        <v>675</v>
      </c>
      <c r="F146" s="510">
        <f>TRUNC(MEMÓRIA!F970,2)</f>
        <v>0.6</v>
      </c>
      <c r="G146" s="509">
        <f>TRUNC(F146*1.2882,2)</f>
        <v>0.77</v>
      </c>
      <c r="H146" s="509">
        <f>TRUNC(F146*E146,2)</f>
        <v>405</v>
      </c>
      <c r="I146" s="510">
        <f>TRUNC(E146*G146,2)</f>
        <v>519.75</v>
      </c>
    </row>
    <row r="147" spans="1:9" s="571" customFormat="1" ht="15.75">
      <c r="A147" s="570" t="s">
        <v>491</v>
      </c>
      <c r="B147" s="514"/>
      <c r="C147" s="515" t="s">
        <v>988</v>
      </c>
      <c r="D147" s="514"/>
      <c r="E147" s="515"/>
      <c r="F147" s="515"/>
      <c r="G147" s="515"/>
      <c r="H147" s="516">
        <f>SUM(H144:H146)</f>
        <v>9245.7</v>
      </c>
      <c r="I147" s="516">
        <f>SUM(I144:I146)</f>
        <v>11907.72</v>
      </c>
    </row>
    <row r="148" spans="1:9" s="571" customFormat="1" ht="15.75">
      <c r="A148" s="570" t="s">
        <v>491</v>
      </c>
      <c r="B148" s="514"/>
      <c r="C148" s="515" t="s">
        <v>146</v>
      </c>
      <c r="D148" s="514"/>
      <c r="E148" s="515"/>
      <c r="F148" s="515"/>
      <c r="G148" s="515"/>
      <c r="H148" s="516">
        <f>H24+H30+H44+H81+H109+H122+H136+H142+H147</f>
        <v>337730.34</v>
      </c>
      <c r="I148" s="516">
        <f>I24+I30+I44+I81+I109+I122+I136+I142+I147</f>
        <v>435026.88</v>
      </c>
    </row>
    <row r="149" spans="1:9" s="2" customFormat="1" ht="15">
      <c r="A149" s="572"/>
      <c r="B149" s="573"/>
      <c r="C149" s="574"/>
      <c r="D149" s="575"/>
      <c r="E149" s="574"/>
      <c r="F149" s="574"/>
      <c r="G149" s="574"/>
      <c r="H149" s="574"/>
      <c r="I149" s="576"/>
    </row>
    <row r="150" spans="1:9" s="2" customFormat="1" ht="15">
      <c r="A150" s="572"/>
      <c r="B150" s="573"/>
      <c r="C150" s="574"/>
      <c r="D150" s="575"/>
      <c r="E150" s="574"/>
      <c r="F150" s="574"/>
      <c r="G150" s="574"/>
      <c r="H150" s="574"/>
      <c r="I150" s="576"/>
    </row>
  </sheetData>
  <sheetProtection/>
  <mergeCells count="21">
    <mergeCell ref="C12:I12"/>
    <mergeCell ref="F8:I8"/>
    <mergeCell ref="A9:I9"/>
    <mergeCell ref="A10:A11"/>
    <mergeCell ref="B10:B11"/>
    <mergeCell ref="C10:C11"/>
    <mergeCell ref="D10:D11"/>
    <mergeCell ref="E10:E11"/>
    <mergeCell ref="F10:I10"/>
    <mergeCell ref="C5:E5"/>
    <mergeCell ref="F5:I5"/>
    <mergeCell ref="C6:E6"/>
    <mergeCell ref="F6:I6"/>
    <mergeCell ref="C7:E7"/>
    <mergeCell ref="F7:I7"/>
    <mergeCell ref="C1:E1"/>
    <mergeCell ref="C2:E2"/>
    <mergeCell ref="C3:E3"/>
    <mergeCell ref="F3:I3"/>
    <mergeCell ref="C4:E4"/>
    <mergeCell ref="F4:I4"/>
  </mergeCells>
  <printOptions horizontalCentered="1"/>
  <pageMargins left="0.5905511811023623" right="0.3937007874015748" top="0.3937007874015748" bottom="0.5905511811023623" header="0" footer="0"/>
  <pageSetup horizontalDpi="600" verticalDpi="600" orientation="landscape" paperSize="9" scale="44" r:id="rId2"/>
  <headerFooter alignWithMargins="0">
    <oddFooter>&amp;C&amp;A&amp;RPágina &amp;P</oddFooter>
  </headerFooter>
  <drawing r:id="rId1"/>
</worksheet>
</file>

<file path=xl/worksheets/sheet3.xml><?xml version="1.0" encoding="utf-8"?>
<worksheet xmlns="http://schemas.openxmlformats.org/spreadsheetml/2006/main" xmlns:r="http://schemas.openxmlformats.org/officeDocument/2006/relationships">
  <dimension ref="A1:AD26"/>
  <sheetViews>
    <sheetView tabSelected="1" view="pageBreakPreview" zoomScale="80" zoomScaleNormal="75" zoomScaleSheetLayoutView="80" zoomScalePageLayoutView="0" workbookViewId="0" topLeftCell="A4">
      <selection activeCell="K22" sqref="K22:K25"/>
    </sheetView>
  </sheetViews>
  <sheetFormatPr defaultColWidth="9.140625" defaultRowHeight="12.75"/>
  <cols>
    <col min="2" max="2" width="62.140625" style="0" bestFit="1" customWidth="1"/>
    <col min="3" max="3" width="11.57421875" style="0" bestFit="1" customWidth="1"/>
    <col min="5" max="5" width="11.57421875" style="0" bestFit="1" customWidth="1"/>
    <col min="6" max="6" width="9.00390625" style="0" bestFit="1" customWidth="1"/>
    <col min="7" max="7" width="11.421875" style="0" bestFit="1" customWidth="1"/>
    <col min="8" max="8" width="10.28125" style="0" bestFit="1" customWidth="1"/>
    <col min="9" max="9" width="11.421875" style="0" bestFit="1" customWidth="1"/>
    <col min="10" max="10" width="10.28125" style="0" customWidth="1"/>
    <col min="11" max="11" width="15.7109375" style="0" bestFit="1" customWidth="1"/>
    <col min="12" max="12" width="12.7109375" style="0" bestFit="1" customWidth="1"/>
    <col min="13" max="13" width="14.57421875" style="0" bestFit="1" customWidth="1"/>
    <col min="14" max="14" width="11.57421875" style="0" bestFit="1" customWidth="1"/>
  </cols>
  <sheetData>
    <row r="1" spans="1:13" s="413" customFormat="1" ht="23.25" customHeight="1">
      <c r="A1" s="475" t="s">
        <v>913</v>
      </c>
      <c r="B1" s="476"/>
      <c r="C1" s="476"/>
      <c r="D1" s="476"/>
      <c r="E1" s="476"/>
      <c r="F1" s="476"/>
      <c r="G1" s="476"/>
      <c r="H1" s="414"/>
      <c r="I1" s="414"/>
      <c r="J1" s="414"/>
      <c r="K1" s="414"/>
      <c r="L1" s="420"/>
      <c r="M1" s="412"/>
    </row>
    <row r="2" spans="1:13" s="413" customFormat="1" ht="23.25" customHeight="1">
      <c r="A2" s="477" t="s">
        <v>914</v>
      </c>
      <c r="B2" s="478"/>
      <c r="C2" s="478"/>
      <c r="D2" s="478"/>
      <c r="E2" s="478"/>
      <c r="F2" s="478"/>
      <c r="G2" s="478"/>
      <c r="H2" s="415"/>
      <c r="I2" s="415"/>
      <c r="J2" s="415"/>
      <c r="K2" s="415"/>
      <c r="L2" s="420"/>
      <c r="M2" s="412"/>
    </row>
    <row r="3" spans="1:13" s="413" customFormat="1" ht="23.25" customHeight="1">
      <c r="A3" s="477" t="s">
        <v>924</v>
      </c>
      <c r="B3" s="478"/>
      <c r="C3" s="478"/>
      <c r="D3" s="478"/>
      <c r="E3" s="478"/>
      <c r="F3" s="478"/>
      <c r="G3" s="478"/>
      <c r="H3" s="415"/>
      <c r="I3" s="415"/>
      <c r="J3" s="415"/>
      <c r="K3" s="415"/>
      <c r="L3" s="420"/>
      <c r="M3" s="412"/>
    </row>
    <row r="4" spans="1:13" s="413" customFormat="1" ht="23.25" customHeight="1">
      <c r="A4" s="479" t="s">
        <v>930</v>
      </c>
      <c r="B4" s="480"/>
      <c r="C4" s="480"/>
      <c r="D4" s="480"/>
      <c r="E4" s="480"/>
      <c r="F4" s="480"/>
      <c r="G4" s="480"/>
      <c r="H4" s="416"/>
      <c r="I4" s="416"/>
      <c r="J4" s="416"/>
      <c r="K4" s="416"/>
      <c r="L4" s="420"/>
      <c r="M4" s="412"/>
    </row>
    <row r="5" spans="1:13" s="413" customFormat="1" ht="20.25">
      <c r="A5" s="481" t="s">
        <v>931</v>
      </c>
      <c r="B5" s="482"/>
      <c r="C5" s="482"/>
      <c r="D5" s="482"/>
      <c r="E5" s="482"/>
      <c r="F5" s="482"/>
      <c r="G5" s="482"/>
      <c r="H5" s="417"/>
      <c r="I5" s="417"/>
      <c r="J5" s="417"/>
      <c r="K5" s="417"/>
      <c r="L5" s="420"/>
      <c r="M5" s="412"/>
    </row>
    <row r="6" spans="1:13" s="413" customFormat="1" ht="23.25" customHeight="1">
      <c r="A6" s="483" t="s">
        <v>925</v>
      </c>
      <c r="B6" s="484"/>
      <c r="C6" s="484"/>
      <c r="D6" s="484"/>
      <c r="E6" s="484"/>
      <c r="F6" s="484"/>
      <c r="G6" s="484"/>
      <c r="H6" s="418"/>
      <c r="I6" s="418"/>
      <c r="J6" s="418"/>
      <c r="K6" s="418"/>
      <c r="L6" s="420"/>
      <c r="M6" s="412"/>
    </row>
    <row r="7" spans="1:13" s="413" customFormat="1" ht="35.25" customHeight="1">
      <c r="A7" s="471" t="s">
        <v>926</v>
      </c>
      <c r="B7" s="472"/>
      <c r="C7" s="472"/>
      <c r="D7" s="472"/>
      <c r="E7" s="472"/>
      <c r="F7" s="472"/>
      <c r="G7" s="472"/>
      <c r="H7" s="419"/>
      <c r="I7" s="419"/>
      <c r="J7" s="419"/>
      <c r="K7" s="419"/>
      <c r="L7" s="420"/>
      <c r="M7" s="412"/>
    </row>
    <row r="8" spans="1:13" s="413" customFormat="1" ht="31.5" customHeight="1">
      <c r="A8" s="422"/>
      <c r="B8" s="423"/>
      <c r="C8" s="423"/>
      <c r="D8" s="423"/>
      <c r="E8" s="423"/>
      <c r="F8" s="423"/>
      <c r="G8" s="423"/>
      <c r="H8" s="423"/>
      <c r="I8" s="423"/>
      <c r="J8" s="423"/>
      <c r="K8" s="423"/>
      <c r="L8" s="420"/>
      <c r="M8" s="412"/>
    </row>
    <row r="9" spans="1:13" s="413" customFormat="1" ht="26.25" customHeight="1">
      <c r="A9" s="469" t="s">
        <v>927</v>
      </c>
      <c r="B9" s="470"/>
      <c r="C9" s="470"/>
      <c r="D9" s="470"/>
      <c r="E9" s="470"/>
      <c r="F9" s="470"/>
      <c r="G9" s="470"/>
      <c r="H9" s="470"/>
      <c r="I9" s="470"/>
      <c r="J9" s="470"/>
      <c r="K9" s="470"/>
      <c r="L9" s="421"/>
      <c r="M9" s="412"/>
    </row>
    <row r="10" spans="1:30" ht="15.75">
      <c r="A10" s="466" t="s">
        <v>140</v>
      </c>
      <c r="B10" s="466" t="s">
        <v>119</v>
      </c>
      <c r="C10" s="468" t="s">
        <v>38</v>
      </c>
      <c r="D10" s="462"/>
      <c r="E10" s="461" t="s">
        <v>17</v>
      </c>
      <c r="F10" s="462"/>
      <c r="G10" s="461" t="s">
        <v>18</v>
      </c>
      <c r="H10" s="462"/>
      <c r="I10" s="461" t="s">
        <v>928</v>
      </c>
      <c r="J10" s="462"/>
      <c r="K10" s="466" t="s">
        <v>150</v>
      </c>
      <c r="L10" s="2"/>
      <c r="M10" s="2"/>
      <c r="N10" s="2"/>
      <c r="O10" s="2"/>
      <c r="P10" s="2"/>
      <c r="Q10" s="2"/>
      <c r="R10" s="2"/>
      <c r="S10" s="2"/>
      <c r="T10" s="2"/>
      <c r="U10" s="2"/>
      <c r="V10" s="2"/>
      <c r="W10" s="2"/>
      <c r="X10" s="2"/>
      <c r="Y10" s="2"/>
      <c r="Z10" s="2"/>
      <c r="AA10" s="2"/>
      <c r="AB10" s="2"/>
      <c r="AC10" s="2"/>
      <c r="AD10" s="2"/>
    </row>
    <row r="11" spans="1:30" ht="15.75">
      <c r="A11" s="467"/>
      <c r="B11" s="467"/>
      <c r="C11" s="10" t="s">
        <v>116</v>
      </c>
      <c r="D11" s="9" t="s">
        <v>115</v>
      </c>
      <c r="E11" s="9" t="s">
        <v>116</v>
      </c>
      <c r="F11" s="9" t="s">
        <v>115</v>
      </c>
      <c r="G11" s="9" t="s">
        <v>116</v>
      </c>
      <c r="H11" s="9" t="s">
        <v>115</v>
      </c>
      <c r="I11" s="9" t="s">
        <v>116</v>
      </c>
      <c r="J11" s="9" t="s">
        <v>115</v>
      </c>
      <c r="K11" s="467"/>
      <c r="L11" s="2"/>
      <c r="M11" s="8"/>
      <c r="N11" s="8"/>
      <c r="O11" s="2"/>
      <c r="P11" s="2"/>
      <c r="Q11" s="2"/>
      <c r="R11" s="2"/>
      <c r="S11" s="2"/>
      <c r="T11" s="2"/>
      <c r="U11" s="2"/>
      <c r="V11" s="2"/>
      <c r="W11" s="2"/>
      <c r="X11" s="2"/>
      <c r="Y11" s="2"/>
      <c r="Z11" s="2"/>
      <c r="AA11" s="2"/>
      <c r="AB11" s="2"/>
      <c r="AC11" s="2"/>
      <c r="AD11" s="2"/>
    </row>
    <row r="12" spans="1:30" ht="15.75">
      <c r="A12" s="6" t="s">
        <v>151</v>
      </c>
      <c r="B12" s="11" t="s">
        <v>152</v>
      </c>
      <c r="C12" s="12">
        <f>D12*K12</f>
        <v>11467.089000000002</v>
      </c>
      <c r="D12" s="13">
        <v>0.9</v>
      </c>
      <c r="E12" s="5">
        <f aca="true" t="shared" si="0" ref="E12:E18">F12*K12</f>
        <v>1274.121</v>
      </c>
      <c r="F12" s="13">
        <v>0.1</v>
      </c>
      <c r="G12" s="20"/>
      <c r="H12" s="20"/>
      <c r="I12" s="20"/>
      <c r="J12" s="425"/>
      <c r="K12" s="14">
        <f>PLANILHA!I24</f>
        <v>12741.210000000001</v>
      </c>
      <c r="L12" s="4">
        <f>C12+E12+G12+I12</f>
        <v>12741.210000000003</v>
      </c>
      <c r="M12" s="4">
        <f>K12-L12</f>
        <v>0</v>
      </c>
      <c r="N12" s="4"/>
      <c r="O12" s="2"/>
      <c r="P12" s="2"/>
      <c r="Q12" s="2"/>
      <c r="R12" s="2"/>
      <c r="S12" s="2"/>
      <c r="T12" s="2"/>
      <c r="U12" s="2"/>
      <c r="V12" s="2"/>
      <c r="W12" s="2"/>
      <c r="X12" s="2"/>
      <c r="Y12" s="2"/>
      <c r="Z12" s="2"/>
      <c r="AA12" s="2"/>
      <c r="AB12" s="2"/>
      <c r="AC12" s="2"/>
      <c r="AD12" s="2"/>
    </row>
    <row r="13" spans="1:30" ht="15.75">
      <c r="A13" s="7" t="s">
        <v>154</v>
      </c>
      <c r="B13" s="15" t="s">
        <v>57</v>
      </c>
      <c r="C13" s="12">
        <f>D13*K13</f>
        <v>24953.14</v>
      </c>
      <c r="D13" s="13">
        <v>0.2</v>
      </c>
      <c r="E13" s="5">
        <f t="shared" si="0"/>
        <v>49906.28</v>
      </c>
      <c r="F13" s="13">
        <v>0.4</v>
      </c>
      <c r="G13" s="3">
        <f aca="true" t="shared" si="1" ref="G13:G20">H13*K13</f>
        <v>37429.71</v>
      </c>
      <c r="H13" s="13">
        <v>0.3</v>
      </c>
      <c r="I13" s="3">
        <f>J13*K13</f>
        <v>12476.57</v>
      </c>
      <c r="J13" s="499">
        <v>0.1</v>
      </c>
      <c r="K13" s="14">
        <f>PLANILHA!I30</f>
        <v>124765.7</v>
      </c>
      <c r="L13" s="4">
        <f aca="true" t="shared" si="2" ref="L13:L20">C13+E13+G13+I13</f>
        <v>124765.70000000001</v>
      </c>
      <c r="M13" s="4">
        <f aca="true" t="shared" si="3" ref="M13:M20">K13-L13</f>
        <v>0</v>
      </c>
      <c r="N13" s="4"/>
      <c r="O13" s="2"/>
      <c r="P13" s="2"/>
      <c r="Q13" s="2"/>
      <c r="R13" s="2"/>
      <c r="S13" s="2"/>
      <c r="T13" s="2"/>
      <c r="U13" s="2"/>
      <c r="V13" s="2"/>
      <c r="W13" s="2"/>
      <c r="X13" s="2"/>
      <c r="Y13" s="2"/>
      <c r="Z13" s="2"/>
      <c r="AA13" s="2"/>
      <c r="AB13" s="2"/>
      <c r="AC13" s="2"/>
      <c r="AD13" s="2"/>
    </row>
    <row r="14" spans="1:30" ht="15.75">
      <c r="A14" s="7" t="s">
        <v>156</v>
      </c>
      <c r="B14" s="16" t="s">
        <v>160</v>
      </c>
      <c r="C14" s="12">
        <f>D14*K14</f>
        <v>9495.498000000001</v>
      </c>
      <c r="D14" s="13">
        <v>0.1</v>
      </c>
      <c r="E14" s="5">
        <f t="shared" si="0"/>
        <v>28486.494000000002</v>
      </c>
      <c r="F14" s="13">
        <v>0.3</v>
      </c>
      <c r="G14" s="3">
        <f t="shared" si="1"/>
        <v>37981.992000000006</v>
      </c>
      <c r="H14" s="13">
        <v>0.4</v>
      </c>
      <c r="I14" s="3">
        <f>J14*K14</f>
        <v>18990.996000000003</v>
      </c>
      <c r="J14" s="13">
        <v>0.2</v>
      </c>
      <c r="K14" s="14">
        <f>PLANILHA!I44</f>
        <v>94954.98000000001</v>
      </c>
      <c r="L14" s="4">
        <f t="shared" si="2"/>
        <v>94954.98000000001</v>
      </c>
      <c r="M14" s="4">
        <f t="shared" si="3"/>
        <v>0</v>
      </c>
      <c r="N14" s="4"/>
      <c r="O14" s="2"/>
      <c r="P14" s="2"/>
      <c r="Q14" s="2"/>
      <c r="R14" s="2"/>
      <c r="S14" s="2"/>
      <c r="T14" s="2"/>
      <c r="U14" s="2"/>
      <c r="V14" s="2"/>
      <c r="W14" s="2"/>
      <c r="X14" s="2"/>
      <c r="Y14" s="2"/>
      <c r="Z14" s="2"/>
      <c r="AA14" s="2"/>
      <c r="AB14" s="2"/>
      <c r="AC14" s="2"/>
      <c r="AD14" s="2"/>
    </row>
    <row r="15" spans="1:30" ht="15.75">
      <c r="A15" s="7" t="s">
        <v>158</v>
      </c>
      <c r="B15" s="16" t="s">
        <v>21</v>
      </c>
      <c r="C15" s="12">
        <f>D15*K15</f>
        <v>3455.0340000000006</v>
      </c>
      <c r="D15" s="13">
        <v>0.1</v>
      </c>
      <c r="E15" s="5">
        <f t="shared" si="0"/>
        <v>13820.136000000002</v>
      </c>
      <c r="F15" s="13">
        <v>0.4</v>
      </c>
      <c r="G15" s="3">
        <f t="shared" si="1"/>
        <v>13820.136000000002</v>
      </c>
      <c r="H15" s="13">
        <v>0.4</v>
      </c>
      <c r="I15" s="3">
        <f aca="true" t="shared" si="4" ref="I15:I20">J15*K15</f>
        <v>3455.0340000000006</v>
      </c>
      <c r="J15" s="13">
        <v>0.1</v>
      </c>
      <c r="K15" s="14">
        <f>PLANILHA!I81</f>
        <v>34550.340000000004</v>
      </c>
      <c r="L15" s="4">
        <f t="shared" si="2"/>
        <v>34550.340000000004</v>
      </c>
      <c r="M15" s="4">
        <f t="shared" si="3"/>
        <v>0</v>
      </c>
      <c r="N15" s="4"/>
      <c r="O15" s="2"/>
      <c r="P15" s="2"/>
      <c r="Q15" s="2"/>
      <c r="R15" s="2"/>
      <c r="S15" s="2"/>
      <c r="T15" s="2"/>
      <c r="U15" s="2"/>
      <c r="V15" s="2"/>
      <c r="W15" s="2"/>
      <c r="X15" s="2"/>
      <c r="Y15" s="2"/>
      <c r="Z15" s="2"/>
      <c r="AA15" s="2"/>
      <c r="AB15" s="2"/>
      <c r="AC15" s="2"/>
      <c r="AD15" s="2"/>
    </row>
    <row r="16" spans="1:30" ht="15.75">
      <c r="A16" s="7" t="s">
        <v>36</v>
      </c>
      <c r="B16" s="16" t="s">
        <v>87</v>
      </c>
      <c r="C16" s="12">
        <f>D16*K16</f>
        <v>4562.441000000001</v>
      </c>
      <c r="D16" s="13">
        <v>0.1</v>
      </c>
      <c r="E16" s="5">
        <f t="shared" si="0"/>
        <v>18249.764000000003</v>
      </c>
      <c r="F16" s="13">
        <v>0.4</v>
      </c>
      <c r="G16" s="3">
        <f t="shared" si="1"/>
        <v>18249.764000000003</v>
      </c>
      <c r="H16" s="13">
        <v>0.4</v>
      </c>
      <c r="I16" s="3">
        <f t="shared" si="4"/>
        <v>4562.441000000001</v>
      </c>
      <c r="J16" s="13">
        <v>0.1</v>
      </c>
      <c r="K16" s="14">
        <f>PLANILHA!I109</f>
        <v>45624.41</v>
      </c>
      <c r="L16" s="4">
        <f t="shared" si="2"/>
        <v>45624.41</v>
      </c>
      <c r="M16" s="4">
        <f t="shared" si="3"/>
        <v>0</v>
      </c>
      <c r="N16" s="4"/>
      <c r="O16" s="2"/>
      <c r="P16" s="2"/>
      <c r="Q16" s="2"/>
      <c r="R16" s="2"/>
      <c r="S16" s="2"/>
      <c r="T16" s="2"/>
      <c r="U16" s="2"/>
      <c r="V16" s="2"/>
      <c r="W16" s="2"/>
      <c r="X16" s="2"/>
      <c r="Y16" s="2"/>
      <c r="Z16" s="2"/>
      <c r="AA16" s="2"/>
      <c r="AB16" s="2"/>
      <c r="AC16" s="2"/>
      <c r="AD16" s="2"/>
    </row>
    <row r="17" spans="1:30" ht="15.75">
      <c r="A17" s="7" t="s">
        <v>37</v>
      </c>
      <c r="B17" s="16" t="s">
        <v>13</v>
      </c>
      <c r="C17" s="20"/>
      <c r="D17" s="19"/>
      <c r="E17" s="3">
        <f>F17*K17</f>
        <v>13153.608</v>
      </c>
      <c r="F17" s="13">
        <v>0.4</v>
      </c>
      <c r="G17" s="3">
        <f t="shared" si="1"/>
        <v>16442.01</v>
      </c>
      <c r="H17" s="13">
        <v>0.5</v>
      </c>
      <c r="I17" s="3">
        <f t="shared" si="4"/>
        <v>3288.402</v>
      </c>
      <c r="J17" s="13">
        <v>0.1</v>
      </c>
      <c r="K17" s="14">
        <f>PLANILHA!I122</f>
        <v>32884.02</v>
      </c>
      <c r="L17" s="4">
        <f t="shared" si="2"/>
        <v>32884.02</v>
      </c>
      <c r="M17" s="4">
        <f t="shared" si="3"/>
        <v>0</v>
      </c>
      <c r="N17" s="4"/>
      <c r="O17" s="2"/>
      <c r="P17" s="2"/>
      <c r="Q17" s="2"/>
      <c r="R17" s="2"/>
      <c r="S17" s="2"/>
      <c r="T17" s="2"/>
      <c r="U17" s="2"/>
      <c r="V17" s="2"/>
      <c r="W17" s="2"/>
      <c r="X17" s="2"/>
      <c r="Y17" s="2"/>
      <c r="Z17" s="2"/>
      <c r="AA17" s="2"/>
      <c r="AB17" s="2"/>
      <c r="AC17" s="2"/>
      <c r="AD17" s="2"/>
    </row>
    <row r="18" spans="1:30" ht="15.75">
      <c r="A18" s="7" t="s">
        <v>128</v>
      </c>
      <c r="B18" s="16" t="s">
        <v>52</v>
      </c>
      <c r="C18" s="20"/>
      <c r="D18" s="19"/>
      <c r="E18" s="3">
        <f t="shared" si="0"/>
        <v>12863.328</v>
      </c>
      <c r="F18" s="13">
        <v>0.3</v>
      </c>
      <c r="G18" s="3">
        <f t="shared" si="1"/>
        <v>25726.656</v>
      </c>
      <c r="H18" s="13">
        <v>0.6</v>
      </c>
      <c r="I18" s="3">
        <f t="shared" si="4"/>
        <v>4287.776000000001</v>
      </c>
      <c r="J18" s="13">
        <v>0.1</v>
      </c>
      <c r="K18" s="14">
        <f>PLANILHA!I136</f>
        <v>42877.76</v>
      </c>
      <c r="L18" s="4">
        <f t="shared" si="2"/>
        <v>42877.759999999995</v>
      </c>
      <c r="M18" s="4">
        <f t="shared" si="3"/>
        <v>0</v>
      </c>
      <c r="N18" s="4"/>
      <c r="O18" s="2"/>
      <c r="P18" s="2"/>
      <c r="Q18" s="2"/>
      <c r="R18" s="2"/>
      <c r="S18" s="2"/>
      <c r="T18" s="2"/>
      <c r="U18" s="2"/>
      <c r="V18" s="2"/>
      <c r="W18" s="2"/>
      <c r="X18" s="2"/>
      <c r="Y18" s="2"/>
      <c r="Z18" s="2"/>
      <c r="AA18" s="2"/>
      <c r="AB18" s="2"/>
      <c r="AC18" s="2"/>
      <c r="AD18" s="2"/>
    </row>
    <row r="19" spans="1:30" ht="15.75">
      <c r="A19" s="7" t="s">
        <v>50</v>
      </c>
      <c r="B19" s="424" t="s">
        <v>929</v>
      </c>
      <c r="C19" s="12">
        <f>D19*K19</f>
        <v>3472.074</v>
      </c>
      <c r="D19" s="13">
        <v>0.1</v>
      </c>
      <c r="E19" s="5">
        <f>F19*K19</f>
        <v>10416.222</v>
      </c>
      <c r="F19" s="13">
        <v>0.3</v>
      </c>
      <c r="G19" s="3">
        <f t="shared" si="1"/>
        <v>17360.37</v>
      </c>
      <c r="H19" s="13">
        <v>0.5</v>
      </c>
      <c r="I19" s="3">
        <f t="shared" si="4"/>
        <v>3472.074</v>
      </c>
      <c r="J19" s="13">
        <v>0.1</v>
      </c>
      <c r="K19" s="14">
        <f>PLANILHA!I142</f>
        <v>34720.74</v>
      </c>
      <c r="L19" s="4">
        <f t="shared" si="2"/>
        <v>34720.74</v>
      </c>
      <c r="M19" s="4">
        <f t="shared" si="3"/>
        <v>0</v>
      </c>
      <c r="N19" s="4"/>
      <c r="O19" s="2"/>
      <c r="P19" s="2"/>
      <c r="Q19" s="2"/>
      <c r="R19" s="2"/>
      <c r="S19" s="2"/>
      <c r="T19" s="2"/>
      <c r="U19" s="2"/>
      <c r="V19" s="2"/>
      <c r="W19" s="2"/>
      <c r="X19" s="2"/>
      <c r="Y19" s="2"/>
      <c r="Z19" s="2"/>
      <c r="AA19" s="2"/>
      <c r="AB19" s="2"/>
      <c r="AC19" s="2"/>
      <c r="AD19" s="2"/>
    </row>
    <row r="20" spans="1:30" ht="15.75">
      <c r="A20" s="7" t="s">
        <v>12</v>
      </c>
      <c r="B20" s="16" t="s">
        <v>55</v>
      </c>
      <c r="C20" s="12">
        <f>D20*K20</f>
        <v>5953.86</v>
      </c>
      <c r="D20" s="13">
        <v>0.5</v>
      </c>
      <c r="E20" s="5">
        <f>F20*K20</f>
        <v>3572.316</v>
      </c>
      <c r="F20" s="13">
        <v>0.3</v>
      </c>
      <c r="G20" s="3">
        <f t="shared" si="1"/>
        <v>1190.772</v>
      </c>
      <c r="H20" s="13">
        <v>0.1</v>
      </c>
      <c r="I20" s="3">
        <f t="shared" si="4"/>
        <v>1190.772</v>
      </c>
      <c r="J20" s="13">
        <v>0.1</v>
      </c>
      <c r="K20" s="14">
        <f>PLANILHA!I147</f>
        <v>11907.72</v>
      </c>
      <c r="L20" s="4">
        <f t="shared" si="2"/>
        <v>11907.720000000001</v>
      </c>
      <c r="M20" s="4">
        <f t="shared" si="3"/>
        <v>0</v>
      </c>
      <c r="N20" s="4"/>
      <c r="O20" s="2"/>
      <c r="P20" s="2"/>
      <c r="Q20" s="2"/>
      <c r="R20" s="2"/>
      <c r="S20" s="2"/>
      <c r="T20" s="2"/>
      <c r="U20" s="2"/>
      <c r="V20" s="2"/>
      <c r="W20" s="2"/>
      <c r="X20" s="2"/>
      <c r="Y20" s="2"/>
      <c r="Z20" s="2"/>
      <c r="AA20" s="2"/>
      <c r="AB20" s="2"/>
      <c r="AC20" s="2"/>
      <c r="AD20" s="2"/>
    </row>
    <row r="21" spans="1:30" ht="15.75">
      <c r="A21" s="17"/>
      <c r="B21" s="18"/>
      <c r="C21" s="18"/>
      <c r="D21" s="18"/>
      <c r="E21" s="18"/>
      <c r="F21" s="18"/>
      <c r="G21" s="18"/>
      <c r="H21" s="18"/>
      <c r="I21" s="18"/>
      <c r="J21" s="18"/>
      <c r="K21" s="14">
        <f>SUM(K12:K20)</f>
        <v>435026.88</v>
      </c>
      <c r="L21" s="4"/>
      <c r="M21" s="4"/>
      <c r="N21" s="4"/>
      <c r="O21" s="2"/>
      <c r="P21" s="2"/>
      <c r="Q21" s="2"/>
      <c r="R21" s="2"/>
      <c r="S21" s="2"/>
      <c r="T21" s="2"/>
      <c r="U21" s="2"/>
      <c r="V21" s="2"/>
      <c r="W21" s="2"/>
      <c r="X21" s="2"/>
      <c r="Y21" s="2"/>
      <c r="Z21" s="2"/>
      <c r="AA21" s="2"/>
      <c r="AB21" s="2"/>
      <c r="AC21" s="2"/>
      <c r="AD21" s="2"/>
    </row>
    <row r="22" spans="1:30" ht="15.75">
      <c r="A22" s="463" t="s">
        <v>105</v>
      </c>
      <c r="B22" s="463"/>
      <c r="C22" s="473">
        <f>SUM(C12:C20)</f>
        <v>63359.136</v>
      </c>
      <c r="D22" s="474"/>
      <c r="E22" s="473">
        <f>SUM(E12:E20)</f>
        <v>151742.26900000003</v>
      </c>
      <c r="F22" s="474"/>
      <c r="G22" s="473">
        <f>SUM(G12:G20)</f>
        <v>168201.41</v>
      </c>
      <c r="H22" s="474"/>
      <c r="I22" s="473">
        <f>SUM(I12:I20)</f>
        <v>51724.065</v>
      </c>
      <c r="J22" s="474"/>
      <c r="K22" s="577"/>
      <c r="L22" s="2"/>
      <c r="M22" s="2"/>
      <c r="N22" s="2"/>
      <c r="O22" s="2"/>
      <c r="P22" s="2"/>
      <c r="Q22" s="2"/>
      <c r="R22" s="2"/>
      <c r="S22" s="2"/>
      <c r="T22" s="2"/>
      <c r="U22" s="2"/>
      <c r="V22" s="2"/>
      <c r="W22" s="2"/>
      <c r="X22" s="2"/>
      <c r="Y22" s="2"/>
      <c r="Z22" s="2"/>
      <c r="AA22" s="2"/>
      <c r="AB22" s="2"/>
      <c r="AC22" s="2"/>
      <c r="AD22" s="2"/>
    </row>
    <row r="23" spans="1:30" ht="15.75">
      <c r="A23" s="486" t="s">
        <v>83</v>
      </c>
      <c r="B23" s="486"/>
      <c r="C23" s="464">
        <f>C22</f>
        <v>63359.136</v>
      </c>
      <c r="D23" s="465"/>
      <c r="E23" s="464">
        <f>C23+E22</f>
        <v>215101.40500000003</v>
      </c>
      <c r="F23" s="465"/>
      <c r="G23" s="464">
        <f>E23+G22</f>
        <v>383302.81500000006</v>
      </c>
      <c r="H23" s="465"/>
      <c r="I23" s="464">
        <f>G23+I22</f>
        <v>435026.88000000006</v>
      </c>
      <c r="J23" s="465"/>
      <c r="K23" s="578"/>
      <c r="L23" s="2"/>
      <c r="M23" s="2"/>
      <c r="N23" s="2"/>
      <c r="O23" s="2"/>
      <c r="P23" s="2"/>
      <c r="Q23" s="2"/>
      <c r="R23" s="2"/>
      <c r="S23" s="2"/>
      <c r="T23" s="2"/>
      <c r="U23" s="2"/>
      <c r="V23" s="2"/>
      <c r="W23" s="2"/>
      <c r="X23" s="2"/>
      <c r="Y23" s="2"/>
      <c r="Z23" s="2"/>
      <c r="AA23" s="2"/>
      <c r="AB23" s="2"/>
      <c r="AC23" s="2"/>
      <c r="AD23" s="2"/>
    </row>
    <row r="24" spans="1:30" ht="15.75">
      <c r="A24" s="485" t="s">
        <v>84</v>
      </c>
      <c r="B24" s="485"/>
      <c r="C24" s="459">
        <f>C22/K21</f>
        <v>0.14564418640061966</v>
      </c>
      <c r="D24" s="460"/>
      <c r="E24" s="459">
        <f>E22/K21</f>
        <v>0.3488112481693086</v>
      </c>
      <c r="F24" s="460"/>
      <c r="G24" s="459">
        <f>G22/K21</f>
        <v>0.3866460159887132</v>
      </c>
      <c r="H24" s="460"/>
      <c r="I24" s="459">
        <f>I22/K21</f>
        <v>0.11889854944135866</v>
      </c>
      <c r="J24" s="460"/>
      <c r="K24" s="578"/>
      <c r="L24" s="2"/>
      <c r="M24" s="2"/>
      <c r="N24" s="2"/>
      <c r="O24" s="2"/>
      <c r="P24" s="2"/>
      <c r="Q24" s="2"/>
      <c r="R24" s="2"/>
      <c r="S24" s="2"/>
      <c r="T24" s="2"/>
      <c r="U24" s="2"/>
      <c r="V24" s="2"/>
      <c r="W24" s="2"/>
      <c r="X24" s="2"/>
      <c r="Y24" s="2"/>
      <c r="Z24" s="2"/>
      <c r="AA24" s="2"/>
      <c r="AB24" s="2"/>
      <c r="AC24" s="2"/>
      <c r="AD24" s="2"/>
    </row>
    <row r="25" spans="1:30" ht="15.75">
      <c r="A25" s="485" t="s">
        <v>85</v>
      </c>
      <c r="B25" s="485"/>
      <c r="C25" s="459">
        <f>C24</f>
        <v>0.14564418640061966</v>
      </c>
      <c r="D25" s="460"/>
      <c r="E25" s="459">
        <f>C25+E24</f>
        <v>0.49445543456992824</v>
      </c>
      <c r="F25" s="460"/>
      <c r="G25" s="459">
        <f>E25+G24</f>
        <v>0.8811014505586414</v>
      </c>
      <c r="H25" s="460"/>
      <c r="I25" s="459">
        <f>G25+I24</f>
        <v>1</v>
      </c>
      <c r="J25" s="460"/>
      <c r="K25" s="579"/>
      <c r="L25" s="2"/>
      <c r="M25" s="2"/>
      <c r="N25" s="2"/>
      <c r="O25" s="2"/>
      <c r="P25" s="2"/>
      <c r="Q25" s="2"/>
      <c r="R25" s="2"/>
      <c r="S25" s="2"/>
      <c r="T25" s="2"/>
      <c r="U25" s="2"/>
      <c r="V25" s="2"/>
      <c r="W25" s="2"/>
      <c r="X25" s="2"/>
      <c r="Y25" s="2"/>
      <c r="Z25" s="2"/>
      <c r="AA25" s="2"/>
      <c r="AB25" s="2"/>
      <c r="AC25" s="2"/>
      <c r="AD25" s="2"/>
    </row>
    <row r="26" ht="12.75">
      <c r="K26" s="1"/>
    </row>
  </sheetData>
  <sheetProtection/>
  <mergeCells count="36">
    <mergeCell ref="C22:D22"/>
    <mergeCell ref="E22:F22"/>
    <mergeCell ref="G22:H22"/>
    <mergeCell ref="G10:H10"/>
    <mergeCell ref="E10:F10"/>
    <mergeCell ref="E25:F25"/>
    <mergeCell ref="E24:F24"/>
    <mergeCell ref="I23:J23"/>
    <mergeCell ref="K22:K25"/>
    <mergeCell ref="G25:H25"/>
    <mergeCell ref="C25:D25"/>
    <mergeCell ref="G24:H24"/>
    <mergeCell ref="A23:B23"/>
    <mergeCell ref="A24:B24"/>
    <mergeCell ref="E23:F23"/>
    <mergeCell ref="C24:D24"/>
    <mergeCell ref="A9:K9"/>
    <mergeCell ref="A7:G7"/>
    <mergeCell ref="I22:J22"/>
    <mergeCell ref="A1:G1"/>
    <mergeCell ref="A2:G2"/>
    <mergeCell ref="A3:G3"/>
    <mergeCell ref="A4:G4"/>
    <mergeCell ref="A5:G5"/>
    <mergeCell ref="A6:G6"/>
    <mergeCell ref="K10:K11"/>
    <mergeCell ref="I24:J24"/>
    <mergeCell ref="I25:J25"/>
    <mergeCell ref="I10:J10"/>
    <mergeCell ref="A22:B22"/>
    <mergeCell ref="G23:H23"/>
    <mergeCell ref="C23:D23"/>
    <mergeCell ref="A10:A11"/>
    <mergeCell ref="B10:B11"/>
    <mergeCell ref="C10:D10"/>
    <mergeCell ref="A25:B25"/>
  </mergeCells>
  <printOptions horizontalCentered="1" verticalCentered="1"/>
  <pageMargins left="0.3937007874015748" right="0.1968503937007874" top="0.1968503937007874" bottom="0.3937007874015748" header="0" footer="0.11811023622047245"/>
  <pageSetup horizontalDpi="300" verticalDpi="300" orientation="landscape" paperSize="9" scale="75" r:id="rId2"/>
  <headerFooter alignWithMargins="0">
    <oddFooter>&amp;C&amp;A&amp;RPágina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Alfredo Antonio Nicolau Macedo Cunha</cp:lastModifiedBy>
  <cp:lastPrinted>2020-04-24T16:17:56Z</cp:lastPrinted>
  <dcterms:created xsi:type="dcterms:W3CDTF">1997-01-10T22:22:50Z</dcterms:created>
  <dcterms:modified xsi:type="dcterms:W3CDTF">2020-04-24T16:18:44Z</dcterms:modified>
  <cp:category/>
  <cp:version/>
  <cp:contentType/>
  <cp:contentStatus/>
</cp:coreProperties>
</file>